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drawings/drawing6.xml" ContentType="application/vnd.openxmlformats-officedocument.drawing+xml"/>
  <Override PartName="/xl/comments8.xml" ContentType="application/vnd.openxmlformats-officedocument.spreadsheetml.comments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1600" windowHeight="11880" tabRatio="888" firstSheet="24" activeTab="24"/>
  </bookViews>
  <sheets>
    <sheet name="기준년도설정" sheetId="48" r:id="rId1"/>
    <sheet name="exptE-FD-H_pc_od_zone_O_YYMMDD" sheetId="61" r:id="rId2"/>
    <sheet name="exptE-FD-H_pc_od_zone_D_YYMMDD" sheetId="62" r:id="rId3"/>
    <sheet name="exptE-FD-H_bus_od_zone_O_YYMMDD" sheetId="63" r:id="rId4"/>
    <sheet name="exptE-FD-H_bus_od_zone_D_YYMMDD" sheetId="64" r:id="rId5"/>
    <sheet name="exptE-FD-F_fod_zone_O_YYMMDD" sheetId="65" r:id="rId6"/>
    <sheet name="exptE-FD-F_fod_zone_D_YYMMDD" sheetId="66" r:id="rId7"/>
    <sheet name="exptD-FD-H_pc_od_zone_O_YYMMDD" sheetId="67" r:id="rId8"/>
    <sheet name="exptD-FD-H_pc_od_zone_D_YYMMDD" sheetId="68" r:id="rId9"/>
    <sheet name="exptD-FD-H_bus_od_zone_O_YYMMDD" sheetId="69" r:id="rId10"/>
    <sheet name="exptD-FD-H_bus_od_zone_D_YYMMDD" sheetId="70" r:id="rId11"/>
    <sheet name="exptD-FD-F_fod_zone_O_YYMMDD" sheetId="71" r:id="rId12"/>
    <sheet name="exptD-FD-F_fod_zone_D_YYMMDD" sheetId="72" r:id="rId13"/>
    <sheet name="exptC-FD-H_pc_od_zone_O_YYMMDD" sheetId="73" r:id="rId14"/>
    <sheet name="exptC-FD-H_pc_od_zone_D_YYMMDD" sheetId="74" r:id="rId15"/>
    <sheet name="exptC-FD-H_bus_od_zone_O_YYMMDD" sheetId="75" r:id="rId16"/>
    <sheet name="exptC-FD-H_bus_od_zone_D_YYMMDD" sheetId="76" r:id="rId17"/>
    <sheet name="exptC-FD-F_fod_zone_O_YYMMDD" sheetId="77" r:id="rId18"/>
    <sheet name="exptC-FD-F_fod_zone_D_YYMMDD" sheetId="78" r:id="rId19"/>
    <sheet name="exptB-FD-H_pc_od_zone_O_YYMMDD" sheetId="79" r:id="rId20"/>
    <sheet name="exptB-FD-H_pc_od_zone_D_YYMMDD" sheetId="80" r:id="rId21"/>
    <sheet name="exptB-FD-H_bus_od_zone_O_YYMMDD" sheetId="81" r:id="rId22"/>
    <sheet name="exptB-FD-H_bus_od_zone_D_YYMMDD" sheetId="82" r:id="rId23"/>
    <sheet name="exptB-FD-F_fod_zone_O_YYMMDD" sheetId="83" r:id="rId24"/>
    <sheet name="exptB-FD-F_fod_zone_D_YYMMDD" sheetId="84" r:id="rId25"/>
    <sheet name="exptA-FD-H_pc_od_zone_O_YYMMDD" sheetId="85" r:id="rId26"/>
    <sheet name="exptA-FD-H_pc_od_zone_D_YYMMDD" sheetId="86" r:id="rId27"/>
    <sheet name="exptA-FD-H_bus_od_zone_O_YYMMDD" sheetId="87" r:id="rId28"/>
    <sheet name="exptA-FD-H_bus_od_zone_D_YYMMDD" sheetId="88" r:id="rId29"/>
    <sheet name="exptA-FD-F_fod_zone_O_YYMMDD" sheetId="89" r:id="rId30"/>
    <sheet name="exptA-FD-F_fod_zone_D_YYMMDD" sheetId="90" r:id="rId31"/>
    <sheet name="NON-FD-H_pc_od_zone_O_YYMMDD" sheetId="41" r:id="rId32"/>
    <sheet name="NON-FD-H_pc_od_zone_D_YYMMDD" sheetId="42" r:id="rId33"/>
    <sheet name="NON-FD-H_bus_od_zone_O_YYMMDD" sheetId="43" r:id="rId34"/>
    <sheet name="NON-FD-H_bus_od_zone_D_YYMMDD" sheetId="44" r:id="rId35"/>
    <sheet name="NON-FD-F_fod_zone_O_YYMMDD " sheetId="45" r:id="rId36"/>
    <sheet name="NON-FD-F_fod_zone_D_YYMMDD" sheetId="46" r:id="rId37"/>
    <sheet name="onlyA-FD-H_pc_od_zone_O_YYMMDD" sheetId="23" r:id="rId38"/>
    <sheet name="onlyA-FD-H_pc_od_zone_D_YYMMDD" sheetId="24" r:id="rId39"/>
    <sheet name="onlyA-FD-H_bus_od_zone_O_YYMMDD" sheetId="25" r:id="rId40"/>
    <sheet name="onlyA-FD-H_bus_od_zone_D_YYMMDD" sheetId="26" r:id="rId41"/>
    <sheet name="onlyA-FD-F_fod_zone_O_YYMMDD" sheetId="27" r:id="rId42"/>
    <sheet name="onlyA-FD-F_fod_zone_D_YYMMDD" sheetId="28" r:id="rId43"/>
    <sheet name="onlyB-FD-H_pc_od_zone_O_YYMMDD" sheetId="29" r:id="rId44"/>
    <sheet name="onlyB-FD-H_pc_od_zone_D_YYMMDD" sheetId="30" r:id="rId45"/>
    <sheet name="onlyB-FD-H_bus_od_zone_O_YYMMDD" sheetId="31" r:id="rId46"/>
    <sheet name="onlyB-FD-H_bus_od_zone_D_YYMMDD" sheetId="32" r:id="rId47"/>
    <sheet name="onlyB-FD-F_fod_zone_O_YYMMDD" sheetId="33" r:id="rId48"/>
    <sheet name="onlyB-FD-F_fod_zone_D_YYMMDD" sheetId="34" r:id="rId49"/>
    <sheet name="onlyC-FD-H_pc_od_zone_O_YYMMDD" sheetId="35" r:id="rId50"/>
    <sheet name="onlyC-FD-H_pc_od_zone_D_YYMMDD" sheetId="36" r:id="rId51"/>
    <sheet name="onlyC-FD-H_bus_od_zone_O_YYMMDD" sheetId="37" r:id="rId52"/>
    <sheet name="onlyC-FD-H_bus_od_zone_D_YYMMDD" sheetId="38" r:id="rId53"/>
    <sheet name="onlyC-FD-F_fod_zone_O_YYMMDD" sheetId="39" r:id="rId54"/>
    <sheet name="onlyC-FD-F_fod_zone_D_YYMMDD" sheetId="40" r:id="rId55"/>
    <sheet name="onlyD-FD-H_pc_od_zone_O_YYMMDD" sheetId="49" r:id="rId56"/>
    <sheet name="onlyD-FD-H_pc_od_zone_D_YYMMDD" sheetId="50" r:id="rId57"/>
    <sheet name="onlyD-FD-H_bus_od_zone_O_YYMMDD" sheetId="51" r:id="rId58"/>
    <sheet name="onlyD-FD-H_bus_od_zone_D_YYMMDD" sheetId="52" r:id="rId59"/>
    <sheet name="onlyD-FD-F_fod_zone_O_YYMMDD" sheetId="53" r:id="rId60"/>
    <sheet name="onlyD-FD-F_fod_zone_D_YYMMDD" sheetId="54" r:id="rId61"/>
    <sheet name="onlyE-FD-H_pc_od_zone_O_YYMMDD" sheetId="55" r:id="rId62"/>
    <sheet name="onlyE-FD-H_pc_od_zone_D_YYMMDD" sheetId="56" r:id="rId63"/>
    <sheet name="onlyE-FD-H_bus_od_zone_O_YYMMDD" sheetId="57" r:id="rId64"/>
    <sheet name="onlyE-FD-H_bus_od_zone_D_YYMMDD" sheetId="58" r:id="rId65"/>
    <sheet name="onlyE-FD-F_fod_zone_O_YYMMDD " sheetId="59" r:id="rId66"/>
    <sheet name="onlyE-FD-F_fod_zone_D_YYMMDD" sheetId="60" r:id="rId67"/>
    <sheet name="ALL-FD-H_pc_od_zone_O_YYMMDD" sheetId="16" r:id="rId68"/>
    <sheet name="ALL-FD-H_pc_od_zone_D_YYMMDD" sheetId="17" r:id="rId69"/>
    <sheet name="ALL-FD-H_bus_od_zone_O_YYMMDD" sheetId="18" r:id="rId70"/>
    <sheet name="ALL-FD-H_bus_od_zone_D_YYMMDD" sheetId="19" r:id="rId71"/>
    <sheet name="ALL-FD-F_fod_zone_O_YYMMDD" sheetId="20" r:id="rId72"/>
    <sheet name="ALL-FD-F_fod_zone_D_YYMMDD" sheetId="21" r:id="rId73"/>
    <sheet name="E.관광문화단지(849301)_수정" sheetId="15" r:id="rId74"/>
    <sheet name="D.cj라이브시티(849201)_수정" sheetId="14" r:id="rId75"/>
    <sheet name="C.장항공공주택지구(849992)" sheetId="13" r:id="rId76"/>
    <sheet name="B.고양영상밸리(849991)_수정" sheetId="12" r:id="rId77"/>
    <sheet name="A.일산테크노밸리(859991)_수정" sheetId="8" r:id="rId78"/>
    <sheet name="고양시_Modal_split" sheetId="9" r:id="rId79"/>
    <sheet name="고양시_재차인원" sheetId="10" r:id="rId80"/>
    <sheet name="KTDB_발생량도착량_증가율" sheetId="22" r:id="rId81"/>
    <sheet name="KTDB_TripDistribution_2045" sheetId="7" r:id="rId82"/>
    <sheet name="장항공공주택지구_통행량제외분" sheetId="47" r:id="rId83"/>
    <sheet name="S1" sheetId="3" r:id="rId84"/>
    <sheet name="일산테크노밸리" sheetId="1" r:id="rId85"/>
    <sheet name="고양영상밸리" sheetId="2" r:id="rId86"/>
    <sheet name="징힝공공주택지구" sheetId="4" r:id="rId87"/>
    <sheet name="cj라이브시티" sheetId="5" r:id="rId88"/>
    <sheet name="관광문화단지" sheetId="6" r:id="rId89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2" i="90" l="1"/>
  <c r="A2" i="89"/>
  <c r="C2" i="88"/>
  <c r="A2" i="88"/>
  <c r="C2" i="87"/>
  <c r="A2" i="87"/>
  <c r="C2" i="86"/>
  <c r="A2" i="86"/>
  <c r="C2" i="85"/>
  <c r="A2" i="85"/>
  <c r="B2" i="84"/>
  <c r="A2" i="84"/>
  <c r="B2" i="83"/>
  <c r="A2" i="83"/>
  <c r="C2" i="82"/>
  <c r="B2" i="82"/>
  <c r="A2" i="82"/>
  <c r="C2" i="81"/>
  <c r="B2" i="81"/>
  <c r="A2" i="81"/>
  <c r="C2" i="80"/>
  <c r="B2" i="80"/>
  <c r="A2" i="80"/>
  <c r="C2" i="79"/>
  <c r="B2" i="79"/>
  <c r="A2" i="79"/>
  <c r="B2" i="78"/>
  <c r="A2" i="78"/>
  <c r="B2" i="77"/>
  <c r="A2" i="77"/>
  <c r="C2" i="76"/>
  <c r="B2" i="76"/>
  <c r="A2" i="76"/>
  <c r="C2" i="75"/>
  <c r="B2" i="75"/>
  <c r="A2" i="75"/>
  <c r="C2" i="74"/>
  <c r="B2" i="74"/>
  <c r="A2" i="74"/>
  <c r="C2" i="73"/>
  <c r="B2" i="73"/>
  <c r="A2" i="73"/>
  <c r="B2" i="72"/>
  <c r="A2" i="72"/>
  <c r="B2" i="71"/>
  <c r="A2" i="71"/>
  <c r="C2" i="70"/>
  <c r="B2" i="70"/>
  <c r="A2" i="70"/>
  <c r="C2" i="69"/>
  <c r="B2" i="69"/>
  <c r="A2" i="69"/>
  <c r="C2" i="68"/>
  <c r="B2" i="68"/>
  <c r="A2" i="68"/>
  <c r="C2" i="67"/>
  <c r="B2" i="67"/>
  <c r="A2" i="67"/>
  <c r="B2" i="66"/>
  <c r="A2" i="66"/>
  <c r="B2" i="65"/>
  <c r="A2" i="65"/>
  <c r="C2" i="64"/>
  <c r="B2" i="64"/>
  <c r="A2" i="64"/>
  <c r="C2" i="63"/>
  <c r="B2" i="63"/>
  <c r="A2" i="63"/>
  <c r="C2" i="62"/>
  <c r="B2" i="62"/>
  <c r="A2" i="62"/>
  <c r="C2" i="61"/>
  <c r="B2" i="61"/>
  <c r="A2" i="61"/>
  <c r="EI140" i="8"/>
  <c r="EH140" i="8"/>
  <c r="EJ140" i="8"/>
  <c r="EI91" i="8"/>
  <c r="EH91" i="8"/>
  <c r="EJ91" i="8"/>
  <c r="EI138" i="8" l="1"/>
  <c r="EI137" i="8"/>
  <c r="EI136" i="8"/>
  <c r="EI135" i="8"/>
  <c r="EI134" i="8"/>
  <c r="EI133" i="8"/>
  <c r="EI132" i="8"/>
  <c r="EI131" i="8"/>
  <c r="EI130" i="8"/>
  <c r="EI129" i="8"/>
  <c r="EI128" i="8"/>
  <c r="EI127" i="8"/>
  <c r="EI126" i="8"/>
  <c r="EI125" i="8"/>
  <c r="EI124" i="8"/>
  <c r="EI123" i="8"/>
  <c r="EI122" i="8"/>
  <c r="EI121" i="8"/>
  <c r="EI120" i="8"/>
  <c r="EI119" i="8"/>
  <c r="EI118" i="8"/>
  <c r="EI117" i="8"/>
  <c r="EI116" i="8"/>
  <c r="EI115" i="8"/>
  <c r="EI114" i="8"/>
  <c r="EI113" i="8"/>
  <c r="EI112" i="8"/>
  <c r="EI111" i="8"/>
  <c r="EI110" i="8"/>
  <c r="EI109" i="8"/>
  <c r="EI108" i="8"/>
  <c r="EI107" i="8"/>
  <c r="EI106" i="8"/>
  <c r="EI105" i="8"/>
  <c r="EI104" i="8"/>
  <c r="EI103" i="8"/>
  <c r="EI102" i="8"/>
  <c r="EI101" i="8"/>
  <c r="EI100" i="8"/>
  <c r="EI99" i="8"/>
  <c r="EI98" i="8"/>
  <c r="EI97" i="8"/>
  <c r="EI96" i="8"/>
  <c r="EI95" i="8"/>
  <c r="EI94" i="8"/>
  <c r="EH138" i="8"/>
  <c r="EH137" i="8"/>
  <c r="EH136" i="8"/>
  <c r="EH135" i="8"/>
  <c r="EH134" i="8"/>
  <c r="EH133" i="8"/>
  <c r="EH132" i="8"/>
  <c r="EH131" i="8"/>
  <c r="EH130" i="8"/>
  <c r="EH129" i="8"/>
  <c r="EH128" i="8"/>
  <c r="EH127" i="8"/>
  <c r="EH126" i="8"/>
  <c r="EH125" i="8"/>
  <c r="EH124" i="8"/>
  <c r="EH123" i="8"/>
  <c r="EH122" i="8"/>
  <c r="EH121" i="8"/>
  <c r="EH120" i="8"/>
  <c r="EH119" i="8"/>
  <c r="EH118" i="8"/>
  <c r="EH117" i="8"/>
  <c r="EH116" i="8"/>
  <c r="EH115" i="8"/>
  <c r="EH114" i="8"/>
  <c r="EH113" i="8"/>
  <c r="EH112" i="8"/>
  <c r="EH111" i="8"/>
  <c r="EH110" i="8"/>
  <c r="EH109" i="8"/>
  <c r="EH108" i="8"/>
  <c r="EH107" i="8"/>
  <c r="EH106" i="8"/>
  <c r="EH105" i="8"/>
  <c r="EH104" i="8"/>
  <c r="EH103" i="8"/>
  <c r="EH102" i="8"/>
  <c r="EH101" i="8"/>
  <c r="EH100" i="8"/>
  <c r="EH99" i="8"/>
  <c r="EH98" i="8"/>
  <c r="EH97" i="8"/>
  <c r="EH96" i="8"/>
  <c r="EH95" i="8"/>
  <c r="EH94" i="8"/>
  <c r="EI89" i="8"/>
  <c r="EI88" i="8"/>
  <c r="EI87" i="8"/>
  <c r="EI86" i="8"/>
  <c r="EI85" i="8"/>
  <c r="EI84" i="8"/>
  <c r="EI83" i="8"/>
  <c r="EI82" i="8"/>
  <c r="EI81" i="8"/>
  <c r="EI80" i="8"/>
  <c r="EI79" i="8"/>
  <c r="EI78" i="8"/>
  <c r="EI77" i="8"/>
  <c r="EI76" i="8"/>
  <c r="EI75" i="8"/>
  <c r="EI74" i="8"/>
  <c r="EI73" i="8"/>
  <c r="EI72" i="8"/>
  <c r="EI71" i="8"/>
  <c r="EI70" i="8"/>
  <c r="EI69" i="8"/>
  <c r="EI68" i="8"/>
  <c r="EI67" i="8"/>
  <c r="EI66" i="8"/>
  <c r="EI65" i="8"/>
  <c r="EI64" i="8"/>
  <c r="EI63" i="8"/>
  <c r="EI62" i="8"/>
  <c r="EI61" i="8"/>
  <c r="EI60" i="8"/>
  <c r="EI59" i="8"/>
  <c r="EI58" i="8"/>
  <c r="EI57" i="8"/>
  <c r="EI56" i="8"/>
  <c r="EI55" i="8"/>
  <c r="EI54" i="8"/>
  <c r="EI53" i="8"/>
  <c r="EI52" i="8"/>
  <c r="EI51" i="8"/>
  <c r="EI50" i="8"/>
  <c r="EI49" i="8"/>
  <c r="EI48" i="8"/>
  <c r="EI47" i="8"/>
  <c r="EI46" i="8"/>
  <c r="EI45" i="8"/>
  <c r="EH89" i="8"/>
  <c r="EH88" i="8"/>
  <c r="EH87" i="8"/>
  <c r="EH86" i="8"/>
  <c r="EH85" i="8"/>
  <c r="EH84" i="8"/>
  <c r="EH83" i="8"/>
  <c r="EH82" i="8"/>
  <c r="EH81" i="8"/>
  <c r="EH80" i="8"/>
  <c r="EH79" i="8"/>
  <c r="EH78" i="8"/>
  <c r="EH77" i="8"/>
  <c r="EH76" i="8"/>
  <c r="EH75" i="8"/>
  <c r="EH74" i="8"/>
  <c r="EH73" i="8"/>
  <c r="EH72" i="8"/>
  <c r="EH71" i="8"/>
  <c r="EH70" i="8"/>
  <c r="EH69" i="8"/>
  <c r="EH68" i="8"/>
  <c r="EH67" i="8"/>
  <c r="EH66" i="8"/>
  <c r="EH65" i="8"/>
  <c r="EH64" i="8"/>
  <c r="EH63" i="8"/>
  <c r="EH62" i="8"/>
  <c r="EH61" i="8"/>
  <c r="EH60" i="8"/>
  <c r="EH59" i="8"/>
  <c r="EH58" i="8"/>
  <c r="EH57" i="8"/>
  <c r="EH56" i="8"/>
  <c r="EH55" i="8"/>
  <c r="EH54" i="8"/>
  <c r="EH53" i="8"/>
  <c r="EH52" i="8"/>
  <c r="EH51" i="8"/>
  <c r="EH50" i="8"/>
  <c r="EH49" i="8"/>
  <c r="EH48" i="8"/>
  <c r="EH47" i="8"/>
  <c r="EH46" i="8"/>
  <c r="EH45" i="8"/>
  <c r="H17" i="15" l="1"/>
  <c r="G17" i="15"/>
  <c r="F17" i="15"/>
  <c r="E17" i="15"/>
  <c r="D17" i="15"/>
  <c r="C17" i="15"/>
  <c r="H60" i="15"/>
  <c r="G60" i="15"/>
  <c r="F60" i="15"/>
  <c r="E60" i="15"/>
  <c r="D60" i="15"/>
  <c r="C60" i="15"/>
  <c r="H85" i="14"/>
  <c r="G85" i="14"/>
  <c r="F85" i="14"/>
  <c r="E85" i="14"/>
  <c r="D85" i="14"/>
  <c r="C85" i="14"/>
  <c r="H84" i="14"/>
  <c r="G84" i="14"/>
  <c r="F84" i="14"/>
  <c r="E84" i="14"/>
  <c r="D84" i="14"/>
  <c r="C84" i="14"/>
  <c r="H83" i="14"/>
  <c r="G83" i="14"/>
  <c r="F83" i="14"/>
  <c r="E83" i="14"/>
  <c r="D83" i="14"/>
  <c r="C83" i="14"/>
  <c r="H82" i="14"/>
  <c r="G82" i="14"/>
  <c r="F82" i="14"/>
  <c r="E82" i="14"/>
  <c r="D82" i="14"/>
  <c r="C82" i="14"/>
  <c r="H81" i="14"/>
  <c r="G81" i="14"/>
  <c r="F81" i="14"/>
  <c r="E81" i="14"/>
  <c r="D81" i="14"/>
  <c r="C81" i="14"/>
  <c r="H80" i="14"/>
  <c r="G80" i="14"/>
  <c r="F80" i="14"/>
  <c r="E80" i="14"/>
  <c r="D80" i="14"/>
  <c r="C80" i="14"/>
  <c r="H79" i="14"/>
  <c r="G79" i="14"/>
  <c r="F79" i="14"/>
  <c r="E79" i="14"/>
  <c r="D79" i="14"/>
  <c r="C79" i="14"/>
  <c r="H42" i="14"/>
  <c r="G42" i="14"/>
  <c r="F42" i="14"/>
  <c r="E42" i="14"/>
  <c r="D42" i="14"/>
  <c r="C42" i="14"/>
  <c r="H41" i="14"/>
  <c r="G41" i="14"/>
  <c r="F41" i="14"/>
  <c r="E41" i="14"/>
  <c r="D41" i="14"/>
  <c r="C41" i="14"/>
  <c r="H40" i="14"/>
  <c r="G40" i="14"/>
  <c r="F40" i="14"/>
  <c r="E40" i="14"/>
  <c r="D40" i="14"/>
  <c r="C40" i="14"/>
  <c r="H39" i="14"/>
  <c r="G39" i="14"/>
  <c r="F39" i="14"/>
  <c r="E39" i="14"/>
  <c r="D39" i="14"/>
  <c r="C39" i="14"/>
  <c r="H38" i="14"/>
  <c r="G38" i="14"/>
  <c r="F38" i="14"/>
  <c r="E38" i="14"/>
  <c r="D38" i="14"/>
  <c r="C38" i="14"/>
  <c r="H37" i="14"/>
  <c r="G37" i="14"/>
  <c r="F37" i="14"/>
  <c r="E37" i="14"/>
  <c r="D37" i="14"/>
  <c r="C37" i="14"/>
  <c r="H36" i="14"/>
  <c r="G36" i="14"/>
  <c r="F36" i="14"/>
  <c r="E36" i="14"/>
  <c r="D36" i="14"/>
  <c r="C36" i="14"/>
  <c r="H158" i="13"/>
  <c r="G158" i="13"/>
  <c r="F158" i="13"/>
  <c r="E158" i="13"/>
  <c r="D158" i="13"/>
  <c r="C158" i="13"/>
  <c r="H157" i="13"/>
  <c r="G157" i="13"/>
  <c r="F157" i="13"/>
  <c r="E157" i="13"/>
  <c r="D157" i="13"/>
  <c r="C157" i="13"/>
  <c r="H156" i="13"/>
  <c r="G156" i="13"/>
  <c r="F156" i="13"/>
  <c r="E156" i="13"/>
  <c r="D156" i="13"/>
  <c r="C156" i="13"/>
  <c r="H155" i="13"/>
  <c r="G155" i="13"/>
  <c r="F155" i="13"/>
  <c r="E155" i="13"/>
  <c r="D155" i="13"/>
  <c r="C155" i="13"/>
  <c r="H154" i="13"/>
  <c r="G154" i="13"/>
  <c r="F154" i="13"/>
  <c r="E154" i="13"/>
  <c r="D154" i="13"/>
  <c r="C154" i="13"/>
  <c r="H153" i="13"/>
  <c r="G153" i="13"/>
  <c r="F153" i="13"/>
  <c r="E153" i="13"/>
  <c r="D153" i="13"/>
  <c r="C153" i="13"/>
  <c r="H152" i="13"/>
  <c r="G152" i="13"/>
  <c r="F152" i="13"/>
  <c r="E152" i="13"/>
  <c r="D152" i="13"/>
  <c r="C152" i="13"/>
  <c r="H151" i="13"/>
  <c r="G151" i="13"/>
  <c r="F151" i="13"/>
  <c r="E151" i="13"/>
  <c r="D151" i="13"/>
  <c r="C151" i="13"/>
  <c r="H150" i="13"/>
  <c r="G150" i="13"/>
  <c r="F150" i="13"/>
  <c r="E150" i="13"/>
  <c r="D150" i="13"/>
  <c r="C150" i="13"/>
  <c r="H149" i="13"/>
  <c r="G149" i="13"/>
  <c r="F149" i="13"/>
  <c r="E149" i="13"/>
  <c r="D149" i="13"/>
  <c r="C149" i="13"/>
  <c r="H148" i="13"/>
  <c r="G148" i="13"/>
  <c r="F148" i="13"/>
  <c r="E148" i="13"/>
  <c r="D148" i="13"/>
  <c r="C148" i="13"/>
  <c r="H147" i="13"/>
  <c r="G147" i="13"/>
  <c r="F147" i="13"/>
  <c r="E147" i="13"/>
  <c r="D147" i="13"/>
  <c r="C147" i="13"/>
  <c r="H146" i="13"/>
  <c r="G146" i="13"/>
  <c r="F146" i="13"/>
  <c r="E146" i="13"/>
  <c r="D146" i="13"/>
  <c r="C146" i="13"/>
  <c r="H115" i="13"/>
  <c r="G115" i="13"/>
  <c r="F115" i="13"/>
  <c r="E115" i="13"/>
  <c r="D115" i="13"/>
  <c r="C115" i="13"/>
  <c r="H114" i="13"/>
  <c r="G114" i="13"/>
  <c r="F114" i="13"/>
  <c r="E114" i="13"/>
  <c r="D114" i="13"/>
  <c r="C114" i="13"/>
  <c r="H113" i="13"/>
  <c r="G113" i="13"/>
  <c r="F113" i="13"/>
  <c r="E113" i="13"/>
  <c r="D113" i="13"/>
  <c r="C113" i="13"/>
  <c r="H112" i="13"/>
  <c r="G112" i="13"/>
  <c r="F112" i="13"/>
  <c r="E112" i="13"/>
  <c r="D112" i="13"/>
  <c r="C112" i="13"/>
  <c r="H111" i="13"/>
  <c r="G111" i="13"/>
  <c r="F111" i="13"/>
  <c r="E111" i="13"/>
  <c r="D111" i="13"/>
  <c r="C111" i="13"/>
  <c r="H110" i="13"/>
  <c r="G110" i="13"/>
  <c r="F110" i="13"/>
  <c r="E110" i="13"/>
  <c r="D110" i="13"/>
  <c r="C110" i="13"/>
  <c r="H109" i="13"/>
  <c r="G109" i="13"/>
  <c r="F109" i="13"/>
  <c r="E109" i="13"/>
  <c r="D109" i="13"/>
  <c r="C109" i="13"/>
  <c r="H108" i="13"/>
  <c r="G108" i="13"/>
  <c r="F108" i="13"/>
  <c r="E108" i="13"/>
  <c r="D108" i="13"/>
  <c r="C108" i="13"/>
  <c r="H107" i="13"/>
  <c r="G107" i="13"/>
  <c r="F107" i="13"/>
  <c r="E107" i="13"/>
  <c r="D107" i="13"/>
  <c r="C107" i="13"/>
  <c r="H106" i="13"/>
  <c r="G106" i="13"/>
  <c r="F106" i="13"/>
  <c r="E106" i="13"/>
  <c r="D106" i="13"/>
  <c r="C106" i="13"/>
  <c r="H105" i="13"/>
  <c r="G105" i="13"/>
  <c r="F105" i="13"/>
  <c r="E105" i="13"/>
  <c r="D105" i="13"/>
  <c r="C105" i="13"/>
  <c r="H104" i="13"/>
  <c r="G104" i="13"/>
  <c r="F104" i="13"/>
  <c r="E104" i="13"/>
  <c r="D104" i="13"/>
  <c r="C104" i="13"/>
  <c r="H103" i="13"/>
  <c r="G103" i="13"/>
  <c r="F103" i="13"/>
  <c r="E103" i="13"/>
  <c r="D103" i="13"/>
  <c r="C103" i="13"/>
  <c r="H40" i="12"/>
  <c r="H39" i="12"/>
  <c r="H38" i="12"/>
  <c r="H37" i="12"/>
  <c r="H36" i="12"/>
  <c r="H35" i="12"/>
  <c r="H34" i="12"/>
  <c r="H33" i="12"/>
  <c r="H32" i="12"/>
  <c r="H31" i="12"/>
  <c r="H30" i="12"/>
  <c r="H29" i="12"/>
  <c r="F40" i="12"/>
  <c r="F39" i="12"/>
  <c r="F38" i="12"/>
  <c r="F37" i="12"/>
  <c r="F36" i="12"/>
  <c r="F35" i="12"/>
  <c r="F34" i="12"/>
  <c r="F33" i="12"/>
  <c r="F32" i="12"/>
  <c r="F31" i="12"/>
  <c r="F30" i="12"/>
  <c r="F29" i="12"/>
  <c r="D40" i="12"/>
  <c r="D39" i="12"/>
  <c r="D38" i="12"/>
  <c r="D37" i="12"/>
  <c r="D36" i="12"/>
  <c r="D35" i="12"/>
  <c r="D34" i="12"/>
  <c r="D33" i="12"/>
  <c r="D32" i="12"/>
  <c r="D31" i="12"/>
  <c r="D30" i="12"/>
  <c r="D29" i="12"/>
  <c r="G40" i="12"/>
  <c r="G39" i="12"/>
  <c r="G38" i="12"/>
  <c r="G37" i="12"/>
  <c r="G36" i="12"/>
  <c r="G35" i="12"/>
  <c r="G34" i="12"/>
  <c r="G33" i="12"/>
  <c r="G32" i="12"/>
  <c r="G31" i="12"/>
  <c r="G30" i="12"/>
  <c r="G29" i="12"/>
  <c r="E40" i="12"/>
  <c r="E39" i="12"/>
  <c r="E38" i="12"/>
  <c r="E37" i="12"/>
  <c r="E36" i="12"/>
  <c r="E35" i="12"/>
  <c r="E34" i="12"/>
  <c r="E33" i="12"/>
  <c r="E32" i="12"/>
  <c r="E31" i="12"/>
  <c r="E30" i="12"/>
  <c r="E29" i="12"/>
  <c r="C40" i="12"/>
  <c r="C39" i="12"/>
  <c r="C38" i="12"/>
  <c r="C37" i="12"/>
  <c r="C36" i="12"/>
  <c r="C35" i="12"/>
  <c r="C34" i="12"/>
  <c r="C33" i="12"/>
  <c r="C32" i="12"/>
  <c r="C31" i="12"/>
  <c r="C30" i="12"/>
  <c r="C29" i="12"/>
  <c r="X196" i="8"/>
  <c r="X195" i="8"/>
  <c r="X194" i="8"/>
  <c r="X193" i="8"/>
  <c r="X192" i="8"/>
  <c r="X191" i="8"/>
  <c r="AG191" i="8" s="1"/>
  <c r="X186" i="8"/>
  <c r="AG186" i="8" s="1"/>
  <c r="X185" i="8"/>
  <c r="AG185" i="8" s="1"/>
  <c r="X184" i="8"/>
  <c r="X183" i="8"/>
  <c r="X182" i="8"/>
  <c r="X181" i="8"/>
  <c r="AG181" i="8" s="1"/>
  <c r="AG196" i="8"/>
  <c r="AG195" i="8"/>
  <c r="AG194" i="8"/>
  <c r="AG193" i="8"/>
  <c r="AG192" i="8"/>
  <c r="AG184" i="8"/>
  <c r="AG183" i="8"/>
  <c r="AG182" i="8"/>
  <c r="A2" i="60" l="1"/>
  <c r="A2" i="59"/>
  <c r="A2" i="58"/>
  <c r="A2" i="57"/>
  <c r="A2" i="56"/>
  <c r="A2" i="55"/>
  <c r="A2" i="54"/>
  <c r="A2" i="53"/>
  <c r="A2" i="52"/>
  <c r="A2" i="51"/>
  <c r="A2" i="50"/>
  <c r="A2" i="49"/>
  <c r="EV181" i="13"/>
  <c r="EV138" i="13"/>
  <c r="A2" i="21"/>
  <c r="A2" i="20"/>
  <c r="A2" i="19"/>
  <c r="A2" i="18"/>
  <c r="A2" i="17"/>
  <c r="A2" i="16"/>
  <c r="A2" i="40"/>
  <c r="A2" i="39"/>
  <c r="A2" i="38"/>
  <c r="A2" i="37"/>
  <c r="A2" i="36"/>
  <c r="A2" i="35"/>
  <c r="A2" i="34"/>
  <c r="A2" i="33"/>
  <c r="A2" i="32"/>
  <c r="A2" i="31"/>
  <c r="A2" i="30"/>
  <c r="A2" i="29"/>
  <c r="A2" i="28"/>
  <c r="A2" i="27"/>
  <c r="A2" i="26"/>
  <c r="A2" i="25"/>
  <c r="A2" i="24"/>
  <c r="A2" i="23"/>
  <c r="A2" i="46"/>
  <c r="A2" i="45"/>
  <c r="A2" i="44"/>
  <c r="A2" i="43"/>
  <c r="A2" i="42"/>
  <c r="A2" i="41"/>
  <c r="G8" i="47"/>
  <c r="F8" i="47"/>
  <c r="E8" i="47"/>
  <c r="E6" i="47" s="1"/>
  <c r="E12" i="47" s="1"/>
  <c r="D8" i="47"/>
  <c r="D6" i="47" s="1"/>
  <c r="D12" i="47" s="1"/>
  <c r="C8" i="47"/>
  <c r="C6" i="47" s="1"/>
  <c r="C12" i="47" s="1"/>
  <c r="B8" i="47"/>
  <c r="B6" i="47" s="1"/>
  <c r="B12" i="47" s="1"/>
  <c r="G6" i="47"/>
  <c r="G12" i="47" s="1"/>
  <c r="F6" i="47"/>
  <c r="F12" i="47" s="1"/>
  <c r="N13" i="47" l="1"/>
  <c r="N14" i="47" s="1"/>
  <c r="N15" i="47" s="1"/>
  <c r="N16" i="47" s="1"/>
  <c r="N17" i="47" s="1"/>
  <c r="E18" i="47"/>
  <c r="E16" i="47"/>
  <c r="E14" i="47"/>
  <c r="E17" i="47"/>
  <c r="E15" i="47"/>
  <c r="E13" i="47"/>
  <c r="O13" i="47"/>
  <c r="F17" i="47"/>
  <c r="F15" i="47"/>
  <c r="F13" i="47"/>
  <c r="F18" i="47"/>
  <c r="F16" i="47"/>
  <c r="F14" i="47"/>
  <c r="G18" i="47"/>
  <c r="G16" i="47"/>
  <c r="G14" i="47"/>
  <c r="G15" i="47"/>
  <c r="G13" i="47"/>
  <c r="G17" i="47"/>
  <c r="P13" i="47"/>
  <c r="C17" i="47"/>
  <c r="C15" i="47"/>
  <c r="C13" i="47"/>
  <c r="L13" i="47"/>
  <c r="L14" i="47" s="1"/>
  <c r="L15" i="47" s="1"/>
  <c r="L16" i="47" s="1"/>
  <c r="L17" i="47" s="1"/>
  <c r="C18" i="47"/>
  <c r="C16" i="47"/>
  <c r="C14" i="47"/>
  <c r="B17" i="47"/>
  <c r="B15" i="47"/>
  <c r="B13" i="47"/>
  <c r="K13" i="47" s="1"/>
  <c r="K14" i="47" s="1"/>
  <c r="K15" i="47" s="1"/>
  <c r="K16" i="47" s="1"/>
  <c r="K17" i="47" s="1"/>
  <c r="K18" i="47" s="1"/>
  <c r="B18" i="47"/>
  <c r="B16" i="47"/>
  <c r="B14" i="47"/>
  <c r="D16" i="47"/>
  <c r="D17" i="47"/>
  <c r="D15" i="47"/>
  <c r="D18" i="47"/>
  <c r="D14" i="47"/>
  <c r="D13" i="47"/>
  <c r="M13" i="47" s="1"/>
  <c r="M14" i="47" s="1"/>
  <c r="M15" i="47" s="1"/>
  <c r="M16" i="47" s="1"/>
  <c r="M17" i="47" s="1"/>
  <c r="M18" i="47" s="1"/>
  <c r="L18" i="47" l="1"/>
  <c r="O14" i="47"/>
  <c r="O15" i="47" s="1"/>
  <c r="O16" i="47" s="1"/>
  <c r="O17" i="47" s="1"/>
  <c r="O18" i="47" s="1"/>
  <c r="N18" i="47"/>
  <c r="P14" i="47"/>
  <c r="P15" i="47" s="1"/>
  <c r="P16" i="47" s="1"/>
  <c r="P17" i="47" s="1"/>
  <c r="P18" i="47" s="1"/>
  <c r="EG139" i="8" l="1"/>
  <c r="Q39" i="8" l="1"/>
  <c r="Q38" i="8"/>
  <c r="Q37" i="8"/>
  <c r="Q36" i="8"/>
  <c r="Q35" i="8"/>
  <c r="Q34" i="8"/>
  <c r="Q33" i="8"/>
  <c r="Q32" i="8"/>
  <c r="Q31" i="8"/>
  <c r="Q30" i="8"/>
  <c r="Q29" i="8"/>
  <c r="Q28" i="8"/>
  <c r="N39" i="8"/>
  <c r="N38" i="8"/>
  <c r="N37" i="8"/>
  <c r="N36" i="8"/>
  <c r="N35" i="8"/>
  <c r="N34" i="8"/>
  <c r="N33" i="8"/>
  <c r="N32" i="8"/>
  <c r="N31" i="8"/>
  <c r="N30" i="8"/>
  <c r="N29" i="8"/>
  <c r="N28" i="8"/>
  <c r="X197" i="8" l="1"/>
  <c r="X187" i="8"/>
  <c r="EJ126" i="8" l="1"/>
  <c r="EJ125" i="8"/>
  <c r="EJ124" i="8"/>
  <c r="EJ123" i="8"/>
  <c r="EJ122" i="8"/>
  <c r="U187" i="8"/>
  <c r="V187" i="8"/>
  <c r="AV166" i="8"/>
  <c r="AT166" i="8" s="1"/>
  <c r="AM166" i="8"/>
  <c r="AO8" i="13"/>
  <c r="AS8" i="8"/>
  <c r="ET73" i="8" l="1"/>
  <c r="ET122" i="8"/>
  <c r="EJ73" i="8"/>
  <c r="ET123" i="8"/>
  <c r="ET74" i="8"/>
  <c r="EJ74" i="8"/>
  <c r="AG197" i="8"/>
  <c r="EJ121" i="8"/>
  <c r="EJ139" i="8" s="1"/>
  <c r="ET72" i="8"/>
  <c r="ET121" i="8"/>
  <c r="EJ72" i="8"/>
  <c r="AQ166" i="8"/>
  <c r="ET124" i="8"/>
  <c r="ET75" i="8"/>
  <c r="EJ75" i="8"/>
  <c r="ET77" i="8"/>
  <c r="ET126" i="8"/>
  <c r="EJ77" i="8"/>
  <c r="ET76" i="8"/>
  <c r="ET125" i="8"/>
  <c r="EJ76" i="8"/>
  <c r="AN166" i="8"/>
  <c r="AO166" i="8"/>
  <c r="AP166" i="8"/>
  <c r="AL166" i="8"/>
  <c r="AG187" i="8"/>
  <c r="AR166" i="8"/>
  <c r="AS166" i="8"/>
  <c r="B2" i="28" l="1"/>
  <c r="B2" i="21"/>
  <c r="EJ90" i="8"/>
  <c r="ET139" i="8"/>
  <c r="ET90" i="8"/>
  <c r="B2" i="20" l="1"/>
  <c r="B2" i="27"/>
  <c r="F14" i="14" l="1"/>
  <c r="E14" i="14"/>
  <c r="D14" i="14"/>
  <c r="F13" i="14"/>
  <c r="E13" i="14"/>
  <c r="D13" i="14"/>
  <c r="F12" i="14"/>
  <c r="E12" i="14"/>
  <c r="D12" i="14"/>
  <c r="F11" i="14"/>
  <c r="E11" i="14"/>
  <c r="D11" i="14"/>
  <c r="F10" i="14"/>
  <c r="E10" i="14"/>
  <c r="D10" i="14"/>
  <c r="F9" i="14"/>
  <c r="E9" i="14"/>
  <c r="D9" i="14"/>
  <c r="F8" i="14"/>
  <c r="E8" i="14"/>
  <c r="D8" i="14"/>
  <c r="FH85" i="14"/>
  <c r="FH84" i="14"/>
  <c r="FH83" i="14"/>
  <c r="FH82" i="14"/>
  <c r="FH81" i="14"/>
  <c r="FH80" i="14"/>
  <c r="J48" i="14" l="1"/>
  <c r="AU38" i="12" l="1"/>
  <c r="AT38" i="12"/>
  <c r="AS38" i="12"/>
  <c r="AR38" i="12"/>
  <c r="AQ38" i="12"/>
  <c r="AP38" i="12"/>
  <c r="AU37" i="12"/>
  <c r="AT37" i="12"/>
  <c r="AS37" i="12"/>
  <c r="AR37" i="12"/>
  <c r="AQ37" i="12"/>
  <c r="AP37" i="12"/>
  <c r="AU36" i="12"/>
  <c r="AT36" i="12"/>
  <c r="AS36" i="12"/>
  <c r="AR36" i="12"/>
  <c r="AQ36" i="12"/>
  <c r="AP36" i="12"/>
  <c r="AU35" i="12"/>
  <c r="AT35" i="12"/>
  <c r="AS35" i="12"/>
  <c r="AR35" i="12"/>
  <c r="AQ35" i="12"/>
  <c r="AP35" i="12"/>
  <c r="AU34" i="12"/>
  <c r="AT34" i="12"/>
  <c r="AS34" i="12"/>
  <c r="AR34" i="12"/>
  <c r="AQ34" i="12"/>
  <c r="AP34" i="12"/>
  <c r="AU33" i="12"/>
  <c r="AT33" i="12"/>
  <c r="AS33" i="12"/>
  <c r="AR33" i="12"/>
  <c r="AQ33" i="12"/>
  <c r="AP33" i="12"/>
  <c r="AU32" i="12"/>
  <c r="AT32" i="12"/>
  <c r="AS32" i="12"/>
  <c r="AR32" i="12"/>
  <c r="AQ32" i="12"/>
  <c r="AP32" i="12"/>
  <c r="AU31" i="12"/>
  <c r="AT31" i="12"/>
  <c r="AS31" i="12"/>
  <c r="AR31" i="12"/>
  <c r="AQ31" i="12"/>
  <c r="AP31" i="12"/>
  <c r="AU30" i="12"/>
  <c r="AT30" i="12"/>
  <c r="AS30" i="12"/>
  <c r="AR30" i="12"/>
  <c r="AQ30" i="12"/>
  <c r="AP30" i="12"/>
  <c r="AU29" i="12"/>
  <c r="AT29" i="12"/>
  <c r="AS29" i="12"/>
  <c r="AR29" i="12"/>
  <c r="AQ29" i="12"/>
  <c r="AP29" i="12"/>
  <c r="AU28" i="12"/>
  <c r="AT28" i="12"/>
  <c r="AS28" i="12"/>
  <c r="AR28" i="12"/>
  <c r="AQ28" i="12"/>
  <c r="AP28" i="12"/>
  <c r="AU27" i="12"/>
  <c r="AT27" i="12"/>
  <c r="AS27" i="12"/>
  <c r="AR27" i="12"/>
  <c r="AQ27" i="12"/>
  <c r="AP27" i="12"/>
  <c r="AF38" i="12"/>
  <c r="AF37" i="12"/>
  <c r="AF36" i="12"/>
  <c r="AF35" i="12"/>
  <c r="AF34" i="12"/>
  <c r="AF33" i="12"/>
  <c r="AF32" i="12"/>
  <c r="AD38" i="12"/>
  <c r="AD37" i="12"/>
  <c r="AD36" i="12"/>
  <c r="AD35" i="12"/>
  <c r="AD34" i="12"/>
  <c r="AD33" i="12"/>
  <c r="AD32" i="12"/>
  <c r="AC38" i="12"/>
  <c r="AC37" i="12"/>
  <c r="AC36" i="12"/>
  <c r="AC35" i="12"/>
  <c r="AC34" i="12"/>
  <c r="AC33" i="12"/>
  <c r="AC32" i="12"/>
  <c r="AE38" i="12"/>
  <c r="AE37" i="12"/>
  <c r="AE36" i="12"/>
  <c r="AE35" i="12"/>
  <c r="AE34" i="12"/>
  <c r="AE33" i="12"/>
  <c r="AE32" i="12"/>
  <c r="AB38" i="12"/>
  <c r="AB37" i="12"/>
  <c r="AB36" i="12"/>
  <c r="AB35" i="12"/>
  <c r="AB34" i="12"/>
  <c r="AB33" i="12"/>
  <c r="AB32" i="12"/>
  <c r="AA38" i="12"/>
  <c r="AA37" i="12"/>
  <c r="AA36" i="12"/>
  <c r="AA35" i="12"/>
  <c r="AA34" i="12"/>
  <c r="AA33" i="12"/>
  <c r="AA32" i="12"/>
  <c r="AF31" i="12"/>
  <c r="AE31" i="12"/>
  <c r="AF30" i="12"/>
  <c r="AE30" i="12"/>
  <c r="AF29" i="12"/>
  <c r="AE29" i="12"/>
  <c r="AF28" i="12"/>
  <c r="AE28" i="12"/>
  <c r="AF27" i="12"/>
  <c r="AE27" i="12"/>
  <c r="AD31" i="12"/>
  <c r="AC31" i="12"/>
  <c r="AD30" i="12"/>
  <c r="AC30" i="12"/>
  <c r="AD29" i="12"/>
  <c r="AC29" i="12"/>
  <c r="AD28" i="12"/>
  <c r="AC28" i="12"/>
  <c r="AD27" i="12"/>
  <c r="AC27" i="12"/>
  <c r="AB31" i="12"/>
  <c r="AA31" i="12"/>
  <c r="AB30" i="12"/>
  <c r="AA30" i="12"/>
  <c r="AB29" i="12"/>
  <c r="AA29" i="12"/>
  <c r="K31" i="12" s="1"/>
  <c r="AB28" i="12"/>
  <c r="AA28" i="12"/>
  <c r="AB27" i="12"/>
  <c r="AA27" i="12"/>
  <c r="AW21" i="12"/>
  <c r="AV21" i="12"/>
  <c r="AU21" i="12"/>
  <c r="AT21" i="12"/>
  <c r="AS21" i="12"/>
  <c r="AR21" i="12"/>
  <c r="AQ21" i="12"/>
  <c r="AP21" i="12"/>
  <c r="AH21" i="12"/>
  <c r="AG21" i="12"/>
  <c r="AF21" i="12"/>
  <c r="AE21" i="12"/>
  <c r="AD21" i="12"/>
  <c r="AC21" i="12"/>
  <c r="AB21" i="12"/>
  <c r="AA21" i="12"/>
  <c r="L38" i="12" l="1"/>
  <c r="L32" i="12"/>
  <c r="L30" i="12"/>
  <c r="L36" i="12"/>
  <c r="L37" i="12"/>
  <c r="L29" i="12"/>
  <c r="L33" i="12"/>
  <c r="L34" i="12"/>
  <c r="K34" i="12"/>
  <c r="K35" i="12"/>
  <c r="K39" i="12"/>
  <c r="K30" i="12"/>
  <c r="K29" i="12"/>
  <c r="K33" i="12"/>
  <c r="K38" i="12"/>
  <c r="L39" i="12"/>
  <c r="L40" i="12"/>
  <c r="L31" i="12"/>
  <c r="L35" i="12"/>
  <c r="M31" i="12" l="1"/>
  <c r="M34" i="12"/>
  <c r="K36" i="12"/>
  <c r="K32" i="12"/>
  <c r="K37" i="12"/>
  <c r="M29" i="12"/>
  <c r="M33" i="12"/>
  <c r="M38" i="12"/>
  <c r="K40" i="12"/>
  <c r="M35" i="12"/>
  <c r="M30" i="12"/>
  <c r="M39" i="12"/>
  <c r="P28" i="8"/>
  <c r="S39" i="8"/>
  <c r="S38" i="8"/>
  <c r="S37" i="8"/>
  <c r="S36" i="8"/>
  <c r="S35" i="8"/>
  <c r="S34" i="8"/>
  <c r="S33" i="8"/>
  <c r="S32" i="8"/>
  <c r="S31" i="8"/>
  <c r="S30" i="8"/>
  <c r="S29" i="8"/>
  <c r="S28" i="8"/>
  <c r="P39" i="8"/>
  <c r="P38" i="8"/>
  <c r="P37" i="8"/>
  <c r="P36" i="8"/>
  <c r="P35" i="8"/>
  <c r="P34" i="8"/>
  <c r="P33" i="8"/>
  <c r="P32" i="8"/>
  <c r="P31" i="8"/>
  <c r="P30" i="8"/>
  <c r="P29" i="8"/>
  <c r="F79" i="13"/>
  <c r="V79" i="13" s="1"/>
  <c r="G79" i="13"/>
  <c r="W79" i="13" s="1"/>
  <c r="H79" i="13"/>
  <c r="X79" i="13" s="1"/>
  <c r="I79" i="13"/>
  <c r="Y79" i="13" s="1"/>
  <c r="J79" i="13"/>
  <c r="Z79" i="13" s="1"/>
  <c r="K79" i="13"/>
  <c r="AA79" i="13" s="1"/>
  <c r="F80" i="13"/>
  <c r="V80" i="13" s="1"/>
  <c r="G80" i="13"/>
  <c r="W80" i="13" s="1"/>
  <c r="H80" i="13"/>
  <c r="X80" i="13" s="1"/>
  <c r="I80" i="13"/>
  <c r="Y80" i="13" s="1"/>
  <c r="J80" i="13"/>
  <c r="Z80" i="13" s="1"/>
  <c r="K80" i="13"/>
  <c r="AA80" i="13" s="1"/>
  <c r="F81" i="13"/>
  <c r="V81" i="13" s="1"/>
  <c r="G81" i="13"/>
  <c r="W81" i="13" s="1"/>
  <c r="H81" i="13"/>
  <c r="X81" i="13" s="1"/>
  <c r="I81" i="13"/>
  <c r="Y81" i="13" s="1"/>
  <c r="J81" i="13"/>
  <c r="Z81" i="13" s="1"/>
  <c r="K81" i="13"/>
  <c r="AA81" i="13" s="1"/>
  <c r="F82" i="13"/>
  <c r="V82" i="13" s="1"/>
  <c r="G82" i="13"/>
  <c r="W82" i="13" s="1"/>
  <c r="H82" i="13"/>
  <c r="X82" i="13" s="1"/>
  <c r="I82" i="13"/>
  <c r="Y82" i="13" s="1"/>
  <c r="J82" i="13"/>
  <c r="Z82" i="13" s="1"/>
  <c r="K82" i="13"/>
  <c r="AA82" i="13" s="1"/>
  <c r="F83" i="13"/>
  <c r="V83" i="13" s="1"/>
  <c r="G83" i="13"/>
  <c r="W83" i="13" s="1"/>
  <c r="H83" i="13"/>
  <c r="X83" i="13" s="1"/>
  <c r="I83" i="13"/>
  <c r="Y83" i="13" s="1"/>
  <c r="J83" i="13"/>
  <c r="Z83" i="13" s="1"/>
  <c r="K83" i="13"/>
  <c r="AA83" i="13" s="1"/>
  <c r="F84" i="13"/>
  <c r="V84" i="13" s="1"/>
  <c r="G84" i="13"/>
  <c r="W84" i="13" s="1"/>
  <c r="H84" i="13"/>
  <c r="X84" i="13" s="1"/>
  <c r="I84" i="13"/>
  <c r="Y84" i="13" s="1"/>
  <c r="J84" i="13"/>
  <c r="Z84" i="13" s="1"/>
  <c r="K84" i="13"/>
  <c r="AA84" i="13" s="1"/>
  <c r="F85" i="13"/>
  <c r="V85" i="13" s="1"/>
  <c r="G85" i="13"/>
  <c r="W85" i="13" s="1"/>
  <c r="H85" i="13"/>
  <c r="X85" i="13" s="1"/>
  <c r="I85" i="13"/>
  <c r="Y85" i="13" s="1"/>
  <c r="J85" i="13"/>
  <c r="Z85" i="13" s="1"/>
  <c r="K85" i="13"/>
  <c r="AA85" i="13" s="1"/>
  <c r="F86" i="13"/>
  <c r="V86" i="13" s="1"/>
  <c r="G86" i="13"/>
  <c r="W86" i="13" s="1"/>
  <c r="H86" i="13"/>
  <c r="X86" i="13" s="1"/>
  <c r="I86" i="13"/>
  <c r="Y86" i="13" s="1"/>
  <c r="J86" i="13"/>
  <c r="Z86" i="13" s="1"/>
  <c r="K86" i="13"/>
  <c r="AA86" i="13" s="1"/>
  <c r="F87" i="13"/>
  <c r="V87" i="13" s="1"/>
  <c r="G87" i="13"/>
  <c r="W87" i="13" s="1"/>
  <c r="H87" i="13"/>
  <c r="X87" i="13" s="1"/>
  <c r="I87" i="13"/>
  <c r="Y87" i="13" s="1"/>
  <c r="J87" i="13"/>
  <c r="Z87" i="13" s="1"/>
  <c r="K87" i="13"/>
  <c r="AA87" i="13" s="1"/>
  <c r="F88" i="13"/>
  <c r="V88" i="13" s="1"/>
  <c r="G88" i="13"/>
  <c r="W88" i="13" s="1"/>
  <c r="H88" i="13"/>
  <c r="X88" i="13" s="1"/>
  <c r="I88" i="13"/>
  <c r="Y88" i="13" s="1"/>
  <c r="J88" i="13"/>
  <c r="Z88" i="13" s="1"/>
  <c r="K88" i="13"/>
  <c r="AA88" i="13" s="1"/>
  <c r="F89" i="13"/>
  <c r="V89" i="13" s="1"/>
  <c r="G89" i="13"/>
  <c r="W89" i="13" s="1"/>
  <c r="H89" i="13"/>
  <c r="X89" i="13" s="1"/>
  <c r="I89" i="13"/>
  <c r="Y89" i="13" s="1"/>
  <c r="J89" i="13"/>
  <c r="Z89" i="13" s="1"/>
  <c r="K89" i="13"/>
  <c r="AA89" i="13" s="1"/>
  <c r="F90" i="13"/>
  <c r="V90" i="13" s="1"/>
  <c r="G90" i="13"/>
  <c r="W90" i="13" s="1"/>
  <c r="H90" i="13"/>
  <c r="X90" i="13" s="1"/>
  <c r="I90" i="13"/>
  <c r="Y90" i="13" s="1"/>
  <c r="J90" i="13"/>
  <c r="Z90" i="13" s="1"/>
  <c r="K90" i="13"/>
  <c r="AA90" i="13" s="1"/>
  <c r="F61" i="13"/>
  <c r="V61" i="13" s="1"/>
  <c r="G61" i="13"/>
  <c r="W61" i="13" s="1"/>
  <c r="H61" i="13"/>
  <c r="X61" i="13" s="1"/>
  <c r="I61" i="13"/>
  <c r="J61" i="13"/>
  <c r="Z61" i="13" s="1"/>
  <c r="K61" i="13"/>
  <c r="F62" i="13"/>
  <c r="V62" i="13" s="1"/>
  <c r="G62" i="13"/>
  <c r="W62" i="13" s="1"/>
  <c r="AB62" i="13" s="1"/>
  <c r="H62" i="13"/>
  <c r="X62" i="13" s="1"/>
  <c r="I62" i="13"/>
  <c r="J62" i="13"/>
  <c r="Z62" i="13" s="1"/>
  <c r="K62" i="13"/>
  <c r="F63" i="13"/>
  <c r="V63" i="13" s="1"/>
  <c r="G63" i="13"/>
  <c r="W63" i="13" s="1"/>
  <c r="H63" i="13"/>
  <c r="X63" i="13" s="1"/>
  <c r="I63" i="13"/>
  <c r="J63" i="13"/>
  <c r="Z63" i="13" s="1"/>
  <c r="AB63" i="13" s="1"/>
  <c r="K63" i="13"/>
  <c r="F64" i="13"/>
  <c r="V64" i="13" s="1"/>
  <c r="AB64" i="13" s="1"/>
  <c r="G64" i="13"/>
  <c r="W64" i="13" s="1"/>
  <c r="H64" i="13"/>
  <c r="X64" i="13" s="1"/>
  <c r="I64" i="13"/>
  <c r="J64" i="13"/>
  <c r="Z64" i="13" s="1"/>
  <c r="K64" i="13"/>
  <c r="F65" i="13"/>
  <c r="V65" i="13" s="1"/>
  <c r="AB65" i="13" s="1"/>
  <c r="G65" i="13"/>
  <c r="W65" i="13" s="1"/>
  <c r="H65" i="13"/>
  <c r="X65" i="13" s="1"/>
  <c r="I65" i="13"/>
  <c r="J65" i="13"/>
  <c r="Z65" i="13" s="1"/>
  <c r="K65" i="13"/>
  <c r="F66" i="13"/>
  <c r="V66" i="13" s="1"/>
  <c r="G66" i="13"/>
  <c r="W66" i="13" s="1"/>
  <c r="AB66" i="13" s="1"/>
  <c r="H66" i="13"/>
  <c r="X66" i="13" s="1"/>
  <c r="I66" i="13"/>
  <c r="J66" i="13"/>
  <c r="Z66" i="13" s="1"/>
  <c r="K66" i="13"/>
  <c r="F67" i="13"/>
  <c r="V67" i="13" s="1"/>
  <c r="G67" i="13"/>
  <c r="W67" i="13" s="1"/>
  <c r="H67" i="13"/>
  <c r="X67" i="13" s="1"/>
  <c r="I67" i="13"/>
  <c r="J67" i="13"/>
  <c r="Z67" i="13" s="1"/>
  <c r="AB67" i="13" s="1"/>
  <c r="K67" i="13"/>
  <c r="F68" i="13"/>
  <c r="V68" i="13" s="1"/>
  <c r="AB68" i="13" s="1"/>
  <c r="G68" i="13"/>
  <c r="W68" i="13" s="1"/>
  <c r="H68" i="13"/>
  <c r="X68" i="13" s="1"/>
  <c r="I68" i="13"/>
  <c r="J68" i="13"/>
  <c r="Z68" i="13" s="1"/>
  <c r="K68" i="13"/>
  <c r="F69" i="13"/>
  <c r="V69" i="13" s="1"/>
  <c r="AB69" i="13" s="1"/>
  <c r="G69" i="13"/>
  <c r="W69" i="13" s="1"/>
  <c r="H69" i="13"/>
  <c r="X69" i="13" s="1"/>
  <c r="I69" i="13"/>
  <c r="J69" i="13"/>
  <c r="Z69" i="13" s="1"/>
  <c r="K69" i="13"/>
  <c r="F70" i="13"/>
  <c r="V70" i="13" s="1"/>
  <c r="G70" i="13"/>
  <c r="W70" i="13" s="1"/>
  <c r="AB70" i="13" s="1"/>
  <c r="H70" i="13"/>
  <c r="X70" i="13" s="1"/>
  <c r="I70" i="13"/>
  <c r="J70" i="13"/>
  <c r="Z70" i="13" s="1"/>
  <c r="K70" i="13"/>
  <c r="F71" i="13"/>
  <c r="V71" i="13" s="1"/>
  <c r="G71" i="13"/>
  <c r="W71" i="13" s="1"/>
  <c r="H71" i="13"/>
  <c r="X71" i="13" s="1"/>
  <c r="I71" i="13"/>
  <c r="J71" i="13"/>
  <c r="Z71" i="13" s="1"/>
  <c r="AB71" i="13" s="1"/>
  <c r="K71" i="13"/>
  <c r="F72" i="13"/>
  <c r="V72" i="13" s="1"/>
  <c r="AB72" i="13" s="1"/>
  <c r="G72" i="13"/>
  <c r="W72" i="13" s="1"/>
  <c r="H72" i="13"/>
  <c r="X72" i="13" s="1"/>
  <c r="I72" i="13"/>
  <c r="J72" i="13"/>
  <c r="Z72" i="13" s="1"/>
  <c r="K72" i="13"/>
  <c r="L90" i="13"/>
  <c r="L89" i="13"/>
  <c r="L88" i="13"/>
  <c r="L87" i="13"/>
  <c r="L86" i="13"/>
  <c r="L85" i="13"/>
  <c r="L84" i="13"/>
  <c r="L83" i="13"/>
  <c r="L82" i="13"/>
  <c r="L81" i="13"/>
  <c r="L80" i="13"/>
  <c r="L79" i="13"/>
  <c r="L72" i="13"/>
  <c r="L71" i="13"/>
  <c r="L70" i="13"/>
  <c r="L69" i="13"/>
  <c r="L68" i="13"/>
  <c r="L67" i="13"/>
  <c r="L66" i="13"/>
  <c r="L65" i="13"/>
  <c r="L64" i="13"/>
  <c r="L63" i="13"/>
  <c r="L62" i="13"/>
  <c r="L61" i="13"/>
  <c r="V73" i="13" l="1"/>
  <c r="Z73" i="13"/>
  <c r="L91" i="13"/>
  <c r="X73" i="13"/>
  <c r="AB61" i="13"/>
  <c r="W73" i="13"/>
  <c r="M37" i="12"/>
  <c r="M32" i="12"/>
  <c r="M36" i="12"/>
  <c r="M40" i="12"/>
  <c r="AB90" i="13"/>
  <c r="AB82" i="13"/>
  <c r="AB86" i="13"/>
  <c r="AB79" i="13"/>
  <c r="AB83" i="13"/>
  <c r="AB88" i="13"/>
  <c r="AB84" i="13"/>
  <c r="AB80" i="13"/>
  <c r="AB87" i="13"/>
  <c r="AB89" i="13"/>
  <c r="AB85" i="13"/>
  <c r="AB81" i="13"/>
  <c r="V91" i="13"/>
  <c r="Z91" i="13"/>
  <c r="W91" i="13"/>
  <c r="L73" i="13"/>
  <c r="AA91" i="13"/>
  <c r="Y91" i="13"/>
  <c r="X91" i="13"/>
  <c r="AB73" i="13" l="1"/>
  <c r="AB91" i="13"/>
  <c r="AE26" i="13" l="1"/>
  <c r="AD26" i="13"/>
  <c r="AC26" i="13"/>
  <c r="AB26" i="13"/>
  <c r="AA26" i="13"/>
  <c r="Z26" i="13"/>
  <c r="Y26" i="13"/>
  <c r="X26" i="13"/>
  <c r="W26" i="13"/>
  <c r="V26" i="13"/>
  <c r="U26" i="13"/>
  <c r="T26" i="13"/>
  <c r="S26" i="13"/>
  <c r="R26" i="13"/>
  <c r="Q26" i="13"/>
  <c r="P26" i="13"/>
  <c r="AE25" i="13"/>
  <c r="AD25" i="13"/>
  <c r="AC25" i="13"/>
  <c r="AB25" i="13"/>
  <c r="AA25" i="13"/>
  <c r="Z25" i="13"/>
  <c r="Y25" i="13"/>
  <c r="X25" i="13"/>
  <c r="W25" i="13"/>
  <c r="V25" i="13"/>
  <c r="U25" i="13"/>
  <c r="T25" i="13"/>
  <c r="S25" i="13"/>
  <c r="R25" i="13"/>
  <c r="Q25" i="13"/>
  <c r="P25" i="13"/>
  <c r="AE24" i="13"/>
  <c r="AD24" i="13"/>
  <c r="AC24" i="13"/>
  <c r="AB24" i="13"/>
  <c r="AA24" i="13"/>
  <c r="Z24" i="13"/>
  <c r="Y24" i="13"/>
  <c r="X24" i="13"/>
  <c r="W24" i="13"/>
  <c r="V24" i="13"/>
  <c r="U24" i="13"/>
  <c r="T24" i="13"/>
  <c r="S24" i="13"/>
  <c r="R24" i="13"/>
  <c r="Q24" i="13"/>
  <c r="P24" i="13"/>
  <c r="AE23" i="13"/>
  <c r="AD23" i="13"/>
  <c r="AC23" i="13"/>
  <c r="AB23" i="13"/>
  <c r="AA23" i="13"/>
  <c r="Z23" i="13"/>
  <c r="Y23" i="13"/>
  <c r="X23" i="13"/>
  <c r="W23" i="13"/>
  <c r="V23" i="13"/>
  <c r="U23" i="13"/>
  <c r="T23" i="13"/>
  <c r="S23" i="13"/>
  <c r="R23" i="13"/>
  <c r="Q23" i="13"/>
  <c r="P23" i="13"/>
  <c r="AE22" i="13"/>
  <c r="AD22" i="13"/>
  <c r="AC22" i="13"/>
  <c r="AB22" i="13"/>
  <c r="AA22" i="13"/>
  <c r="Z22" i="13"/>
  <c r="Y22" i="13"/>
  <c r="X22" i="13"/>
  <c r="W22" i="13"/>
  <c r="V22" i="13"/>
  <c r="U22" i="13"/>
  <c r="T22" i="13"/>
  <c r="S22" i="13"/>
  <c r="R22" i="13"/>
  <c r="Q22" i="13"/>
  <c r="P22" i="13"/>
  <c r="M41" i="12"/>
  <c r="L41" i="12"/>
  <c r="K41" i="12"/>
  <c r="J41" i="12"/>
  <c r="I41" i="12"/>
  <c r="H41" i="12"/>
  <c r="G41" i="12"/>
  <c r="F41" i="12"/>
  <c r="E41" i="12"/>
  <c r="D41" i="12"/>
  <c r="C41" i="12"/>
  <c r="AD150" i="12"/>
  <c r="AD149" i="12"/>
  <c r="AD148" i="12"/>
  <c r="AD147" i="12"/>
  <c r="AD146" i="12"/>
  <c r="AE146" i="12" s="1"/>
  <c r="AD145" i="12"/>
  <c r="AD144" i="12"/>
  <c r="AD143" i="12"/>
  <c r="AD142" i="12"/>
  <c r="AD141" i="12"/>
  <c r="AD140" i="12"/>
  <c r="AD139" i="12"/>
  <c r="AD138" i="12"/>
  <c r="AD137" i="12"/>
  <c r="AD132" i="12"/>
  <c r="AD131" i="12"/>
  <c r="CP6" i="12" l="1"/>
  <c r="AE147" i="12"/>
  <c r="AE131" i="12"/>
  <c r="AE143" i="12"/>
  <c r="AE140" i="12"/>
  <c r="AE137" i="12"/>
  <c r="AE149" i="12"/>
  <c r="AN189" i="12" l="1"/>
  <c r="AM189" i="12"/>
  <c r="AL189" i="12"/>
  <c r="AK189" i="12"/>
  <c r="U125" i="12"/>
  <c r="T125" i="12"/>
  <c r="U124" i="12"/>
  <c r="T124" i="12"/>
  <c r="U123" i="12"/>
  <c r="T123" i="12"/>
  <c r="U122" i="12"/>
  <c r="T122" i="12"/>
  <c r="U121" i="12"/>
  <c r="T121" i="12"/>
  <c r="U120" i="12"/>
  <c r="T120" i="12"/>
  <c r="U119" i="12"/>
  <c r="T119" i="12"/>
  <c r="AS157" i="8" l="1"/>
  <c r="AS156" i="8"/>
  <c r="AS155" i="8"/>
  <c r="AS154" i="8"/>
  <c r="AS153" i="8"/>
  <c r="AS152" i="8"/>
  <c r="AS151" i="8"/>
  <c r="AS150" i="8"/>
  <c r="AS149" i="8"/>
  <c r="AS148" i="8"/>
  <c r="AS147" i="8"/>
  <c r="AS146" i="8"/>
  <c r="AS145" i="8"/>
  <c r="AS144" i="8"/>
  <c r="AS143" i="8"/>
  <c r="AS142" i="8"/>
  <c r="AS141" i="8"/>
  <c r="AS140" i="8"/>
  <c r="AS139" i="8"/>
  <c r="AS138" i="8"/>
  <c r="AS137" i="8"/>
  <c r="AS136" i="8"/>
  <c r="AS135" i="8"/>
  <c r="AS134" i="8"/>
  <c r="AS133" i="8"/>
  <c r="AS132" i="8"/>
  <c r="AS131" i="8"/>
  <c r="AS130" i="8"/>
  <c r="AS129" i="8"/>
  <c r="AS128" i="8"/>
  <c r="AS127" i="8"/>
  <c r="AS126" i="8"/>
  <c r="AS125" i="8"/>
  <c r="AS124" i="8"/>
  <c r="AS123" i="8"/>
  <c r="AS122" i="8"/>
  <c r="AS121" i="8"/>
  <c r="AS120" i="8"/>
  <c r="AS119" i="8"/>
  <c r="AS118" i="8"/>
  <c r="AS117" i="8"/>
  <c r="AS116" i="8"/>
  <c r="AS115" i="8"/>
  <c r="AS114" i="8"/>
  <c r="AS113" i="8"/>
  <c r="O8" i="9" l="1"/>
  <c r="N8" i="9"/>
  <c r="M8" i="9"/>
  <c r="L8" i="9"/>
  <c r="K8" i="9"/>
  <c r="J8" i="9"/>
  <c r="I8" i="9"/>
  <c r="H8" i="9"/>
  <c r="G8" i="9"/>
  <c r="F8" i="9"/>
  <c r="E8" i="9"/>
  <c r="D8" i="9"/>
  <c r="C8" i="9"/>
  <c r="O7" i="9"/>
  <c r="N7" i="9"/>
  <c r="M7" i="9"/>
  <c r="L7" i="9"/>
  <c r="K7" i="9"/>
  <c r="J7" i="9"/>
  <c r="I7" i="9"/>
  <c r="H7" i="9"/>
  <c r="G7" i="9"/>
  <c r="F7" i="9"/>
  <c r="E7" i="9"/>
  <c r="D7" i="9"/>
  <c r="C7" i="9"/>
  <c r="O6" i="9"/>
  <c r="N6" i="9"/>
  <c r="M6" i="9"/>
  <c r="L6" i="9"/>
  <c r="K6" i="9"/>
  <c r="J6" i="9"/>
  <c r="I6" i="9"/>
  <c r="H6" i="9"/>
  <c r="G6" i="9"/>
  <c r="F6" i="9"/>
  <c r="E6" i="9"/>
  <c r="D6" i="9"/>
  <c r="C6" i="9"/>
  <c r="O5" i="9"/>
  <c r="N5" i="9"/>
  <c r="M5" i="9"/>
  <c r="L5" i="9"/>
  <c r="K5" i="9"/>
  <c r="J5" i="9"/>
  <c r="I5" i="9"/>
  <c r="H5" i="9"/>
  <c r="G5" i="9"/>
  <c r="F5" i="9"/>
  <c r="E5" i="9"/>
  <c r="D5" i="9"/>
  <c r="C5" i="9"/>
  <c r="O4" i="9"/>
  <c r="N4" i="9"/>
  <c r="M4" i="9"/>
  <c r="L4" i="9"/>
  <c r="K4" i="9"/>
  <c r="J4" i="9"/>
  <c r="I4" i="9"/>
  <c r="H4" i="9"/>
  <c r="G4" i="9"/>
  <c r="F4" i="9"/>
  <c r="E4" i="9"/>
  <c r="D4" i="9"/>
  <c r="C4" i="9"/>
  <c r="O3" i="9"/>
  <c r="N3" i="9"/>
  <c r="M3" i="9"/>
  <c r="L3" i="9"/>
  <c r="K3" i="9"/>
  <c r="J3" i="9"/>
  <c r="I3" i="9"/>
  <c r="H3" i="9"/>
  <c r="G3" i="9"/>
  <c r="F3" i="9"/>
  <c r="E3" i="9"/>
  <c r="D3" i="9"/>
  <c r="C3" i="9"/>
  <c r="F9" i="7" l="1"/>
  <c r="X6" i="7" s="1"/>
  <c r="E9" i="7"/>
  <c r="W6" i="7" s="1"/>
  <c r="D9" i="7"/>
  <c r="V8" i="7" s="1"/>
  <c r="C9" i="7"/>
  <c r="U5" i="7" s="1"/>
  <c r="U12" i="7" s="1"/>
  <c r="B9" i="7"/>
  <c r="T5" i="7" s="1"/>
  <c r="G8" i="7"/>
  <c r="O8" i="7" s="1"/>
  <c r="G7" i="7"/>
  <c r="L7" i="7" s="1"/>
  <c r="G6" i="7"/>
  <c r="P6" i="7" s="1"/>
  <c r="G5" i="7"/>
  <c r="P5" i="7" s="1"/>
  <c r="P12" i="7" s="1"/>
  <c r="G4" i="7"/>
  <c r="O4" i="7" s="1"/>
  <c r="P8" i="9"/>
  <c r="P7" i="9"/>
  <c r="P6" i="9"/>
  <c r="P3" i="9"/>
  <c r="P5" i="9"/>
  <c r="P4" i="9"/>
  <c r="D104" i="8" l="1"/>
  <c r="D100" i="8"/>
  <c r="D96" i="8"/>
  <c r="D105" i="8"/>
  <c r="D101" i="8"/>
  <c r="D97" i="8"/>
  <c r="D106" i="8"/>
  <c r="D102" i="8"/>
  <c r="D98" i="8"/>
  <c r="D95" i="8"/>
  <c r="D99" i="8"/>
  <c r="D103" i="8"/>
  <c r="G56" i="8"/>
  <c r="G52" i="8"/>
  <c r="G48" i="8"/>
  <c r="G53" i="8"/>
  <c r="G49" i="8"/>
  <c r="G45" i="8"/>
  <c r="G50" i="8"/>
  <c r="G46" i="8"/>
  <c r="G54" i="8"/>
  <c r="G55" i="8"/>
  <c r="G47" i="8"/>
  <c r="G51" i="8"/>
  <c r="M6" i="7"/>
  <c r="X5" i="7"/>
  <c r="D90" i="12"/>
  <c r="D88" i="12"/>
  <c r="D97" i="12"/>
  <c r="D98" i="12"/>
  <c r="D94" i="12"/>
  <c r="D92" i="12"/>
  <c r="D89" i="12"/>
  <c r="D93" i="12"/>
  <c r="D99" i="12"/>
  <c r="D95" i="12"/>
  <c r="D96" i="12"/>
  <c r="D91" i="12"/>
  <c r="D100" i="12"/>
  <c r="G73" i="12"/>
  <c r="G72" i="12"/>
  <c r="G63" i="12"/>
  <c r="G67" i="12"/>
  <c r="G66" i="12"/>
  <c r="G64" i="12"/>
  <c r="G71" i="12"/>
  <c r="G69" i="12"/>
  <c r="G70" i="12"/>
  <c r="G68" i="12"/>
  <c r="G62" i="12"/>
  <c r="G65" i="12"/>
  <c r="G74" i="12"/>
  <c r="L6" i="7"/>
  <c r="M7" i="7"/>
  <c r="L4" i="7"/>
  <c r="N7" i="7"/>
  <c r="M4" i="7"/>
  <c r="O7" i="7"/>
  <c r="N4" i="7"/>
  <c r="P7" i="7"/>
  <c r="W8" i="7"/>
  <c r="O5" i="7"/>
  <c r="O12" i="7" s="1"/>
  <c r="P8" i="7"/>
  <c r="V5" i="7"/>
  <c r="T7" i="7"/>
  <c r="T4" i="7"/>
  <c r="W5" i="7"/>
  <c r="U7" i="7"/>
  <c r="W12" i="7" s="1"/>
  <c r="X8" i="7"/>
  <c r="V7" i="7"/>
  <c r="W7" i="7"/>
  <c r="C11" i="7"/>
  <c r="F11" i="7"/>
  <c r="B11" i="7"/>
  <c r="E11" i="7"/>
  <c r="D11" i="7"/>
  <c r="P4" i="7"/>
  <c r="N6" i="7"/>
  <c r="L8" i="7"/>
  <c r="W4" i="7"/>
  <c r="U6" i="7"/>
  <c r="V12" i="7" s="1"/>
  <c r="X7" i="7"/>
  <c r="U4" i="7"/>
  <c r="T6" i="7"/>
  <c r="G9" i="7"/>
  <c r="H9" i="7" s="1"/>
  <c r="L5" i="7"/>
  <c r="L12" i="7" s="1"/>
  <c r="O6" i="7"/>
  <c r="M8" i="7"/>
  <c r="X4" i="7"/>
  <c r="V6" i="7"/>
  <c r="T8" i="7"/>
  <c r="V4" i="7"/>
  <c r="M5" i="7"/>
  <c r="M12" i="7" s="1"/>
  <c r="N8" i="7"/>
  <c r="U8" i="7"/>
  <c r="X12" i="7" s="1"/>
  <c r="N5" i="7"/>
  <c r="N12" i="7" s="1"/>
  <c r="P287" i="8"/>
  <c r="R286" i="8"/>
  <c r="G287" i="8"/>
  <c r="H286" i="8"/>
  <c r="P285" i="8"/>
  <c r="R284" i="8"/>
  <c r="H285" i="8"/>
  <c r="H284" i="8"/>
  <c r="P283" i="8"/>
  <c r="R282" i="8"/>
  <c r="G283" i="8"/>
  <c r="H282" i="8"/>
  <c r="P281" i="8"/>
  <c r="R280" i="8"/>
  <c r="G281" i="8"/>
  <c r="H280" i="8"/>
  <c r="P279" i="8"/>
  <c r="R278" i="8"/>
  <c r="F279" i="8"/>
  <c r="H278" i="8"/>
  <c r="P277" i="8"/>
  <c r="R276" i="8"/>
  <c r="F277" i="8"/>
  <c r="H276" i="8"/>
  <c r="P275" i="8"/>
  <c r="R274" i="8"/>
  <c r="G275" i="8"/>
  <c r="H274" i="8"/>
  <c r="P273" i="8"/>
  <c r="Q272" i="8"/>
  <c r="F273" i="8"/>
  <c r="H272" i="8"/>
  <c r="P271" i="8"/>
  <c r="R270" i="8"/>
  <c r="H271" i="8"/>
  <c r="H270" i="8"/>
  <c r="P269" i="8"/>
  <c r="R268" i="8"/>
  <c r="F269" i="8"/>
  <c r="H268" i="8"/>
  <c r="S21" i="8"/>
  <c r="F105" i="8" l="1"/>
  <c r="F101" i="8"/>
  <c r="F97" i="8"/>
  <c r="F106" i="8"/>
  <c r="F102" i="8"/>
  <c r="F98" i="8"/>
  <c r="F99" i="8"/>
  <c r="F103" i="8"/>
  <c r="F95" i="8"/>
  <c r="F96" i="8"/>
  <c r="F104" i="8"/>
  <c r="F100" i="8"/>
  <c r="C54" i="8"/>
  <c r="C50" i="8"/>
  <c r="C46" i="8"/>
  <c r="C55" i="8"/>
  <c r="C51" i="8"/>
  <c r="C47" i="8"/>
  <c r="C56" i="8"/>
  <c r="C52" i="8"/>
  <c r="C48" i="8"/>
  <c r="C45" i="8"/>
  <c r="C49" i="8"/>
  <c r="C53" i="8"/>
  <c r="F55" i="8"/>
  <c r="F51" i="8"/>
  <c r="F47" i="8"/>
  <c r="F56" i="8"/>
  <c r="F52" i="8"/>
  <c r="F48" i="8"/>
  <c r="F53" i="8"/>
  <c r="F49" i="8"/>
  <c r="F45" i="8"/>
  <c r="F50" i="8"/>
  <c r="F54" i="8"/>
  <c r="F46" i="8"/>
  <c r="D54" i="8"/>
  <c r="D50" i="8"/>
  <c r="D46" i="8"/>
  <c r="D55" i="8"/>
  <c r="D51" i="8"/>
  <c r="D47" i="8"/>
  <c r="D56" i="8"/>
  <c r="D52" i="8"/>
  <c r="D48" i="8"/>
  <c r="D45" i="8"/>
  <c r="D49" i="8"/>
  <c r="D53" i="8"/>
  <c r="E105" i="8"/>
  <c r="E101" i="8"/>
  <c r="E97" i="8"/>
  <c r="E103" i="8"/>
  <c r="E99" i="8"/>
  <c r="E95" i="8"/>
  <c r="E106" i="8"/>
  <c r="E102" i="8"/>
  <c r="E98" i="8"/>
  <c r="E96" i="8"/>
  <c r="E100" i="8"/>
  <c r="E104" i="8"/>
  <c r="E55" i="8"/>
  <c r="E51" i="8"/>
  <c r="E47" i="8"/>
  <c r="E53" i="8"/>
  <c r="E49" i="8"/>
  <c r="E45" i="8"/>
  <c r="E56" i="8"/>
  <c r="E52" i="8"/>
  <c r="E48" i="8"/>
  <c r="E50" i="8"/>
  <c r="E54" i="8"/>
  <c r="E46" i="8"/>
  <c r="G106" i="8"/>
  <c r="G102" i="8"/>
  <c r="G98" i="8"/>
  <c r="G103" i="8"/>
  <c r="G99" i="8"/>
  <c r="G95" i="8"/>
  <c r="G104" i="8"/>
  <c r="G100" i="8"/>
  <c r="G96" i="8"/>
  <c r="G101" i="8"/>
  <c r="G105" i="8"/>
  <c r="G97" i="8"/>
  <c r="Q6" i="7"/>
  <c r="Q4" i="7"/>
  <c r="Q7" i="7"/>
  <c r="W9" i="7"/>
  <c r="F70" i="12"/>
  <c r="F68" i="12"/>
  <c r="F73" i="12"/>
  <c r="F63" i="12"/>
  <c r="F67" i="12"/>
  <c r="F72" i="12"/>
  <c r="F64" i="12"/>
  <c r="F69" i="12"/>
  <c r="F66" i="12"/>
  <c r="F71" i="12"/>
  <c r="F65" i="12"/>
  <c r="F62" i="12"/>
  <c r="F74" i="12"/>
  <c r="BS40" i="14"/>
  <c r="BX40" i="14"/>
  <c r="CA40" i="14"/>
  <c r="BW40" i="14"/>
  <c r="DP40" i="14" s="1"/>
  <c r="BQ40" i="14"/>
  <c r="BY40" i="14"/>
  <c r="BV40" i="14"/>
  <c r="DO40" i="14" s="1"/>
  <c r="BR40" i="14"/>
  <c r="DN40" i="14" s="1"/>
  <c r="CD40" i="14"/>
  <c r="BU40" i="14"/>
  <c r="CC40" i="14"/>
  <c r="CB40" i="14"/>
  <c r="BT40" i="14"/>
  <c r="BZ40" i="14"/>
  <c r="DQ40" i="14" s="1"/>
  <c r="AM89" i="12"/>
  <c r="AN89" i="12"/>
  <c r="AG89" i="12"/>
  <c r="DD89" i="12" s="1"/>
  <c r="AA89" i="12"/>
  <c r="AH89" i="12"/>
  <c r="AI89" i="12"/>
  <c r="AB89" i="12"/>
  <c r="DB89" i="12" s="1"/>
  <c r="AJ89" i="12"/>
  <c r="DE89" i="12" s="1"/>
  <c r="AC89" i="12"/>
  <c r="AK89" i="12"/>
  <c r="AD89" i="12"/>
  <c r="AE89" i="12"/>
  <c r="AF89" i="12"/>
  <c r="DC89" i="12" s="1"/>
  <c r="AL89" i="12"/>
  <c r="BS69" i="12"/>
  <c r="BX69" i="12"/>
  <c r="BY69" i="12"/>
  <c r="BR69" i="12"/>
  <c r="DN69" i="12" s="1"/>
  <c r="BU69" i="12"/>
  <c r="CA69" i="12"/>
  <c r="CC69" i="12"/>
  <c r="BW69" i="12"/>
  <c r="DP69" i="12" s="1"/>
  <c r="BV69" i="12"/>
  <c r="DO69" i="12" s="1"/>
  <c r="CD69" i="12"/>
  <c r="BQ69" i="12"/>
  <c r="BZ69" i="12"/>
  <c r="DQ69" i="12" s="1"/>
  <c r="BT69" i="12"/>
  <c r="CB69" i="12"/>
  <c r="CD115" i="13"/>
  <c r="CC115" i="13"/>
  <c r="BW115" i="13"/>
  <c r="DP115" i="13" s="1"/>
  <c r="CA115" i="13"/>
  <c r="CB115" i="13"/>
  <c r="BX115" i="13"/>
  <c r="BQ115" i="13"/>
  <c r="BS115" i="13"/>
  <c r="BY115" i="13"/>
  <c r="BT115" i="13"/>
  <c r="BR115" i="13"/>
  <c r="DN115" i="13" s="1"/>
  <c r="BZ115" i="13"/>
  <c r="DQ115" i="13" s="1"/>
  <c r="BU115" i="13"/>
  <c r="BV115" i="13"/>
  <c r="DO115" i="13" s="1"/>
  <c r="BR41" i="14"/>
  <c r="DN41" i="14" s="1"/>
  <c r="BQ41" i="14"/>
  <c r="BZ41" i="14"/>
  <c r="DQ41" i="14" s="1"/>
  <c r="BW41" i="14"/>
  <c r="DP41" i="14" s="1"/>
  <c r="BY41" i="14"/>
  <c r="BS41" i="14"/>
  <c r="CB41" i="14"/>
  <c r="BV41" i="14"/>
  <c r="DO41" i="14" s="1"/>
  <c r="CA41" i="14"/>
  <c r="BT41" i="14"/>
  <c r="BX41" i="14"/>
  <c r="CD41" i="14"/>
  <c r="CC41" i="14"/>
  <c r="BU41" i="14"/>
  <c r="BU109" i="13"/>
  <c r="CC109" i="13"/>
  <c r="BV109" i="13"/>
  <c r="DO109" i="13" s="1"/>
  <c r="BT109" i="13"/>
  <c r="CD109" i="13"/>
  <c r="BX109" i="13"/>
  <c r="CA109" i="13"/>
  <c r="BS109" i="13"/>
  <c r="BW109" i="13"/>
  <c r="DP109" i="13" s="1"/>
  <c r="BQ109" i="13"/>
  <c r="BY109" i="13"/>
  <c r="BR109" i="13"/>
  <c r="DN109" i="13" s="1"/>
  <c r="BZ109" i="13"/>
  <c r="DQ109" i="13" s="1"/>
  <c r="CB109" i="13"/>
  <c r="BS42" i="14"/>
  <c r="CA42" i="14"/>
  <c r="BX42" i="14"/>
  <c r="CB42" i="14"/>
  <c r="BZ42" i="14"/>
  <c r="DQ42" i="14" s="1"/>
  <c r="BW42" i="14"/>
  <c r="DP42" i="14" s="1"/>
  <c r="BY42" i="14"/>
  <c r="CC42" i="14"/>
  <c r="CD42" i="14"/>
  <c r="BU42" i="14"/>
  <c r="BR42" i="14"/>
  <c r="DN42" i="14" s="1"/>
  <c r="BV42" i="14"/>
  <c r="DO42" i="14" s="1"/>
  <c r="BT42" i="14"/>
  <c r="BQ42" i="14"/>
  <c r="AG92" i="12"/>
  <c r="DD92" i="12" s="1"/>
  <c r="AB92" i="12"/>
  <c r="DB92" i="12" s="1"/>
  <c r="AC92" i="12"/>
  <c r="AD92" i="12"/>
  <c r="AE92" i="12"/>
  <c r="AA92" i="12"/>
  <c r="AJ92" i="12"/>
  <c r="DE92" i="12" s="1"/>
  <c r="AK92" i="12"/>
  <c r="AL92" i="12"/>
  <c r="AH92" i="12"/>
  <c r="AI92" i="12"/>
  <c r="AF92" i="12"/>
  <c r="DC92" i="12" s="1"/>
  <c r="AM92" i="12"/>
  <c r="AN92" i="12"/>
  <c r="AM60" i="15"/>
  <c r="AE60" i="15"/>
  <c r="AG60" i="15"/>
  <c r="DD60" i="15" s="1"/>
  <c r="AL60" i="15"/>
  <c r="AD60" i="15"/>
  <c r="AK60" i="15"/>
  <c r="AC60" i="15"/>
  <c r="AJ60" i="15"/>
  <c r="DE60" i="15" s="1"/>
  <c r="AB60" i="15"/>
  <c r="DB60" i="15" s="1"/>
  <c r="AI60" i="15"/>
  <c r="AA60" i="15"/>
  <c r="AH60" i="15"/>
  <c r="AN60" i="15"/>
  <c r="AF60" i="15"/>
  <c r="DC60" i="15" s="1"/>
  <c r="BU111" i="13"/>
  <c r="BS111" i="13"/>
  <c r="CD111" i="13"/>
  <c r="CC111" i="13"/>
  <c r="CA111" i="13"/>
  <c r="BW111" i="13"/>
  <c r="DP111" i="13" s="1"/>
  <c r="CB111" i="13"/>
  <c r="BT111" i="13"/>
  <c r="BQ111" i="13"/>
  <c r="BX111" i="13"/>
  <c r="BY111" i="13"/>
  <c r="BV111" i="13"/>
  <c r="DO111" i="13" s="1"/>
  <c r="BZ111" i="13"/>
  <c r="DQ111" i="13" s="1"/>
  <c r="BR111" i="13"/>
  <c r="DN111" i="13" s="1"/>
  <c r="BZ38" i="14"/>
  <c r="DQ38" i="14" s="1"/>
  <c r="BQ38" i="14"/>
  <c r="BW38" i="14"/>
  <c r="DP38" i="14" s="1"/>
  <c r="BY38" i="14"/>
  <c r="BV38" i="14"/>
  <c r="DO38" i="14" s="1"/>
  <c r="BT38" i="14"/>
  <c r="BS38" i="14"/>
  <c r="CB38" i="14"/>
  <c r="CC38" i="14"/>
  <c r="CA38" i="14"/>
  <c r="BU38" i="14"/>
  <c r="BR38" i="14"/>
  <c r="DN38" i="14" s="1"/>
  <c r="BX38" i="14"/>
  <c r="CD38" i="14"/>
  <c r="F90" i="12"/>
  <c r="F98" i="12"/>
  <c r="F89" i="12"/>
  <c r="F94" i="12"/>
  <c r="F92" i="12"/>
  <c r="F97" i="12"/>
  <c r="F93" i="12"/>
  <c r="F88" i="12"/>
  <c r="F95" i="12"/>
  <c r="F99" i="12"/>
  <c r="F91" i="12"/>
  <c r="F96" i="12"/>
  <c r="F100" i="12"/>
  <c r="BX71" i="12"/>
  <c r="CC71" i="12"/>
  <c r="CB71" i="12"/>
  <c r="CA71" i="12"/>
  <c r="BZ71" i="12"/>
  <c r="DQ71" i="12" s="1"/>
  <c r="BW71" i="12"/>
  <c r="DP71" i="12" s="1"/>
  <c r="BS71" i="12"/>
  <c r="BV71" i="12"/>
  <c r="DO71" i="12" s="1"/>
  <c r="CD71" i="12"/>
  <c r="BU71" i="12"/>
  <c r="BT71" i="12"/>
  <c r="BQ71" i="12"/>
  <c r="BR71" i="12"/>
  <c r="DN71" i="12" s="1"/>
  <c r="BY71" i="12"/>
  <c r="CA17" i="15"/>
  <c r="BR17" i="15"/>
  <c r="DN17" i="15" s="1"/>
  <c r="CC17" i="15"/>
  <c r="BS17" i="15"/>
  <c r="BZ17" i="15"/>
  <c r="DQ17" i="15" s="1"/>
  <c r="BW17" i="15"/>
  <c r="DP17" i="15" s="1"/>
  <c r="BX17" i="15"/>
  <c r="BV17" i="15"/>
  <c r="DO17" i="15" s="1"/>
  <c r="BU17" i="15"/>
  <c r="CB17" i="15"/>
  <c r="CD17" i="15"/>
  <c r="BQ17" i="15"/>
  <c r="BY17" i="15"/>
  <c r="BT17" i="15"/>
  <c r="BT113" i="13"/>
  <c r="BX113" i="13"/>
  <c r="CB113" i="13"/>
  <c r="BQ113" i="13"/>
  <c r="BW113" i="13"/>
  <c r="DP113" i="13" s="1"/>
  <c r="BY113" i="13"/>
  <c r="BU113" i="13"/>
  <c r="BR113" i="13"/>
  <c r="DN113" i="13" s="1"/>
  <c r="BV113" i="13"/>
  <c r="DO113" i="13" s="1"/>
  <c r="BZ113" i="13"/>
  <c r="DQ113" i="13" s="1"/>
  <c r="CC113" i="13"/>
  <c r="BS113" i="13"/>
  <c r="CA113" i="13"/>
  <c r="CD113" i="13"/>
  <c r="D101" i="12"/>
  <c r="AL100" i="12"/>
  <c r="AH100" i="12"/>
  <c r="AD100" i="12"/>
  <c r="AA100" i="12"/>
  <c r="AK100" i="12"/>
  <c r="AG100" i="12"/>
  <c r="DD100" i="12" s="1"/>
  <c r="AC100" i="12"/>
  <c r="AN100" i="12"/>
  <c r="AJ100" i="12"/>
  <c r="DE100" i="12" s="1"/>
  <c r="AF100" i="12"/>
  <c r="DC100" i="12" s="1"/>
  <c r="AB100" i="12"/>
  <c r="DB100" i="12" s="1"/>
  <c r="AM100" i="12"/>
  <c r="AI100" i="12"/>
  <c r="AE100" i="12"/>
  <c r="AK94" i="12"/>
  <c r="AC94" i="12"/>
  <c r="AJ94" i="12"/>
  <c r="DE94" i="12" s="1"/>
  <c r="AB94" i="12"/>
  <c r="DB94" i="12" s="1"/>
  <c r="AI94" i="12"/>
  <c r="AA94" i="12"/>
  <c r="AH94" i="12"/>
  <c r="AG94" i="12"/>
  <c r="DD94" i="12" s="1"/>
  <c r="AN94" i="12"/>
  <c r="AF94" i="12"/>
  <c r="DC94" i="12" s="1"/>
  <c r="AM94" i="12"/>
  <c r="AE94" i="12"/>
  <c r="AL94" i="12"/>
  <c r="AD94" i="12"/>
  <c r="AC151" i="13"/>
  <c r="AH151" i="13"/>
  <c r="AK151" i="13"/>
  <c r="AI151" i="13"/>
  <c r="AD151" i="13"/>
  <c r="AA151" i="13"/>
  <c r="AM151" i="13"/>
  <c r="AJ151" i="13"/>
  <c r="DE151" i="13" s="1"/>
  <c r="AN151" i="13"/>
  <c r="AL151" i="13"/>
  <c r="AF151" i="13"/>
  <c r="DC151" i="13" s="1"/>
  <c r="AB151" i="13"/>
  <c r="DB151" i="13" s="1"/>
  <c r="AE151" i="13"/>
  <c r="AG151" i="13"/>
  <c r="DD151" i="13" s="1"/>
  <c r="AG147" i="13"/>
  <c r="DD147" i="13" s="1"/>
  <c r="AF147" i="13"/>
  <c r="DC147" i="13" s="1"/>
  <c r="AH147" i="13"/>
  <c r="AN147" i="13"/>
  <c r="AI147" i="13"/>
  <c r="AC147" i="13"/>
  <c r="AB147" i="13"/>
  <c r="DB147" i="13" s="1"/>
  <c r="AL147" i="13"/>
  <c r="AK147" i="13"/>
  <c r="AM147" i="13"/>
  <c r="AJ147" i="13"/>
  <c r="DE147" i="13" s="1"/>
  <c r="AD147" i="13"/>
  <c r="AE147" i="13"/>
  <c r="AA147" i="13"/>
  <c r="BR70" i="12"/>
  <c r="DN70" i="12" s="1"/>
  <c r="BV70" i="12"/>
  <c r="DO70" i="12" s="1"/>
  <c r="CC70" i="12"/>
  <c r="BY70" i="12"/>
  <c r="BW70" i="12"/>
  <c r="DP70" i="12" s="1"/>
  <c r="BT70" i="12"/>
  <c r="BX70" i="12"/>
  <c r="BQ70" i="12"/>
  <c r="CB70" i="12"/>
  <c r="BS70" i="12"/>
  <c r="CA70" i="12"/>
  <c r="BU70" i="12"/>
  <c r="BZ70" i="12"/>
  <c r="DQ70" i="12" s="1"/>
  <c r="CD70" i="12"/>
  <c r="AG155" i="13"/>
  <c r="DD155" i="13" s="1"/>
  <c r="AC155" i="13"/>
  <c r="AH155" i="13"/>
  <c r="AL155" i="13"/>
  <c r="AI155" i="13"/>
  <c r="AD155" i="13"/>
  <c r="AA155" i="13"/>
  <c r="AM155" i="13"/>
  <c r="AJ155" i="13"/>
  <c r="DE155" i="13" s="1"/>
  <c r="AE155" i="13"/>
  <c r="AN155" i="13"/>
  <c r="AK155" i="13"/>
  <c r="AF155" i="13"/>
  <c r="DC155" i="13" s="1"/>
  <c r="AB155" i="13"/>
  <c r="DB155" i="13" s="1"/>
  <c r="U9" i="7"/>
  <c r="Y12" i="7" s="1"/>
  <c r="T12" i="7"/>
  <c r="BT64" i="12"/>
  <c r="BS64" i="12"/>
  <c r="CB64" i="12"/>
  <c r="BX64" i="12"/>
  <c r="BW64" i="12"/>
  <c r="DP64" i="12" s="1"/>
  <c r="BQ64" i="12"/>
  <c r="CD64" i="12"/>
  <c r="BV64" i="12"/>
  <c r="DO64" i="12" s="1"/>
  <c r="BZ64" i="12"/>
  <c r="DQ64" i="12" s="1"/>
  <c r="CC64" i="12"/>
  <c r="BR64" i="12"/>
  <c r="DN64" i="12" s="1"/>
  <c r="BU64" i="12"/>
  <c r="BY64" i="12"/>
  <c r="CA64" i="12"/>
  <c r="BW37" i="14"/>
  <c r="DP37" i="14" s="1"/>
  <c r="CB37" i="14"/>
  <c r="BT37" i="14"/>
  <c r="BR37" i="14"/>
  <c r="DN37" i="14" s="1"/>
  <c r="BQ37" i="14"/>
  <c r="BZ37" i="14"/>
  <c r="DQ37" i="14" s="1"/>
  <c r="BU37" i="14"/>
  <c r="BY37" i="14"/>
  <c r="CD37" i="14"/>
  <c r="BS37" i="14"/>
  <c r="CC37" i="14"/>
  <c r="CA37" i="14"/>
  <c r="BX37" i="14"/>
  <c r="BV37" i="14"/>
  <c r="DO37" i="14" s="1"/>
  <c r="CC39" i="14"/>
  <c r="BW39" i="14"/>
  <c r="DP39" i="14" s="1"/>
  <c r="BT39" i="14"/>
  <c r="CB39" i="14"/>
  <c r="BS39" i="14"/>
  <c r="BY39" i="14"/>
  <c r="CA39" i="14"/>
  <c r="BU39" i="14"/>
  <c r="BQ39" i="14"/>
  <c r="BV39" i="14"/>
  <c r="DO39" i="14" s="1"/>
  <c r="CD39" i="14"/>
  <c r="BR39" i="14"/>
  <c r="DN39" i="14" s="1"/>
  <c r="BX39" i="14"/>
  <c r="BZ39" i="14"/>
  <c r="DQ39" i="14" s="1"/>
  <c r="AK91" i="12"/>
  <c r="AE91" i="12"/>
  <c r="AG91" i="12"/>
  <c r="DD91" i="12" s="1"/>
  <c r="AM91" i="12"/>
  <c r="AH91" i="12"/>
  <c r="AA91" i="12"/>
  <c r="AB91" i="12"/>
  <c r="DB91" i="12" s="1"/>
  <c r="AD91" i="12"/>
  <c r="AF91" i="12"/>
  <c r="DC91" i="12" s="1"/>
  <c r="AI91" i="12"/>
  <c r="AJ91" i="12"/>
  <c r="DE91" i="12" s="1"/>
  <c r="AC91" i="12"/>
  <c r="AN91" i="12"/>
  <c r="AL91" i="12"/>
  <c r="AM98" i="12"/>
  <c r="AE98" i="12"/>
  <c r="AL98" i="12"/>
  <c r="AD98" i="12"/>
  <c r="AK98" i="12"/>
  <c r="AC98" i="12"/>
  <c r="AJ98" i="12"/>
  <c r="DE98" i="12" s="1"/>
  <c r="AB98" i="12"/>
  <c r="DB98" i="12" s="1"/>
  <c r="AI98" i="12"/>
  <c r="AA98" i="12"/>
  <c r="AH98" i="12"/>
  <c r="AG98" i="12"/>
  <c r="DD98" i="12" s="1"/>
  <c r="AN98" i="12"/>
  <c r="AF98" i="12"/>
  <c r="DC98" i="12" s="1"/>
  <c r="AH146" i="13"/>
  <c r="AE146" i="13"/>
  <c r="AC146" i="13"/>
  <c r="AL146" i="13"/>
  <c r="AD146" i="13"/>
  <c r="AB146" i="13"/>
  <c r="DB146" i="13" s="1"/>
  <c r="AM146" i="13"/>
  <c r="AI146" i="13"/>
  <c r="AG146" i="13"/>
  <c r="DD146" i="13" s="1"/>
  <c r="AA146" i="13"/>
  <c r="AF146" i="13"/>
  <c r="DC146" i="13" s="1"/>
  <c r="AN146" i="13"/>
  <c r="AK146" i="13"/>
  <c r="AJ146" i="13"/>
  <c r="DE146" i="13" s="1"/>
  <c r="AK80" i="14"/>
  <c r="AG80" i="14"/>
  <c r="DD80" i="14" s="1"/>
  <c r="AC80" i="14"/>
  <c r="AN80" i="14"/>
  <c r="AJ80" i="14"/>
  <c r="DE80" i="14" s="1"/>
  <c r="AF80" i="14"/>
  <c r="DC80" i="14" s="1"/>
  <c r="AB80" i="14"/>
  <c r="DB80" i="14" s="1"/>
  <c r="AL80" i="14"/>
  <c r="AI80" i="14"/>
  <c r="AD80" i="14"/>
  <c r="AA80" i="14"/>
  <c r="AM80" i="14"/>
  <c r="AE80" i="14"/>
  <c r="AH80" i="14"/>
  <c r="AJ148" i="13"/>
  <c r="DE148" i="13" s="1"/>
  <c r="AF148" i="13"/>
  <c r="DC148" i="13" s="1"/>
  <c r="AC148" i="13"/>
  <c r="AN148" i="13"/>
  <c r="AK148" i="13"/>
  <c r="AD148" i="13"/>
  <c r="AA148" i="13"/>
  <c r="AE148" i="13"/>
  <c r="AI148" i="13"/>
  <c r="AM148" i="13"/>
  <c r="AG148" i="13"/>
  <c r="DD148" i="13" s="1"/>
  <c r="AH148" i="13"/>
  <c r="AB148" i="13"/>
  <c r="DB148" i="13" s="1"/>
  <c r="AL148" i="13"/>
  <c r="G75" i="12"/>
  <c r="BV74" i="12"/>
  <c r="DO74" i="12" s="1"/>
  <c r="BW74" i="12"/>
  <c r="DP74" i="12" s="1"/>
  <c r="BS74" i="12"/>
  <c r="CA74" i="12"/>
  <c r="BQ74" i="12"/>
  <c r="CD74" i="12"/>
  <c r="BY74" i="12"/>
  <c r="BT74" i="12"/>
  <c r="BX74" i="12"/>
  <c r="CB74" i="12"/>
  <c r="BR74" i="12"/>
  <c r="DN74" i="12" s="1"/>
  <c r="BU74" i="12"/>
  <c r="BZ74" i="12"/>
  <c r="DQ74" i="12" s="1"/>
  <c r="CC74" i="12"/>
  <c r="BW66" i="12"/>
  <c r="DP66" i="12" s="1"/>
  <c r="BV66" i="12"/>
  <c r="DO66" i="12" s="1"/>
  <c r="BU66" i="12"/>
  <c r="CC66" i="12"/>
  <c r="CD66" i="12"/>
  <c r="BX66" i="12"/>
  <c r="BY66" i="12"/>
  <c r="CA66" i="12"/>
  <c r="BS66" i="12"/>
  <c r="BQ66" i="12"/>
  <c r="CB66" i="12"/>
  <c r="BZ66" i="12"/>
  <c r="DQ66" i="12" s="1"/>
  <c r="BT66" i="12"/>
  <c r="BR66" i="12"/>
  <c r="DN66" i="12" s="1"/>
  <c r="BT110" i="13"/>
  <c r="CB110" i="13"/>
  <c r="BQ110" i="13"/>
  <c r="BU110" i="13"/>
  <c r="BY110" i="13"/>
  <c r="CC110" i="13"/>
  <c r="BZ110" i="13"/>
  <c r="DQ110" i="13" s="1"/>
  <c r="CD110" i="13"/>
  <c r="BS110" i="13"/>
  <c r="BX110" i="13"/>
  <c r="BR110" i="13"/>
  <c r="DN110" i="13" s="1"/>
  <c r="CA110" i="13"/>
  <c r="BV110" i="13"/>
  <c r="DO110" i="13" s="1"/>
  <c r="BW110" i="13"/>
  <c r="DP110" i="13" s="1"/>
  <c r="CD104" i="13"/>
  <c r="BT104" i="13"/>
  <c r="BX104" i="13"/>
  <c r="CB104" i="13"/>
  <c r="BQ104" i="13"/>
  <c r="BU104" i="13"/>
  <c r="BY104" i="13"/>
  <c r="CC104" i="13"/>
  <c r="BR104" i="13"/>
  <c r="DN104" i="13" s="1"/>
  <c r="BW104" i="13"/>
  <c r="DP104" i="13" s="1"/>
  <c r="BS104" i="13"/>
  <c r="BZ104" i="13"/>
  <c r="DQ104" i="13" s="1"/>
  <c r="CA104" i="13"/>
  <c r="BV104" i="13"/>
  <c r="DO104" i="13" s="1"/>
  <c r="AJ96" i="12"/>
  <c r="DE96" i="12" s="1"/>
  <c r="AB96" i="12"/>
  <c r="DB96" i="12" s="1"/>
  <c r="AG96" i="12"/>
  <c r="DD96" i="12" s="1"/>
  <c r="AH96" i="12"/>
  <c r="AC96" i="12"/>
  <c r="AA96" i="12"/>
  <c r="AI96" i="12"/>
  <c r="AD96" i="12"/>
  <c r="AE96" i="12"/>
  <c r="AF96" i="12"/>
  <c r="DC96" i="12" s="1"/>
  <c r="AK96" i="12"/>
  <c r="AL96" i="12"/>
  <c r="AM96" i="12"/>
  <c r="AN96" i="12"/>
  <c r="AI97" i="12"/>
  <c r="AJ97" i="12"/>
  <c r="DE97" i="12" s="1"/>
  <c r="AN97" i="12"/>
  <c r="AA97" i="12"/>
  <c r="AG97" i="12"/>
  <c r="DD97" i="12" s="1"/>
  <c r="AH97" i="12"/>
  <c r="AC97" i="12"/>
  <c r="AK97" i="12"/>
  <c r="AD97" i="12"/>
  <c r="AB97" i="12"/>
  <c r="DB97" i="12" s="1"/>
  <c r="AL97" i="12"/>
  <c r="AE97" i="12"/>
  <c r="AM97" i="12"/>
  <c r="AF97" i="12"/>
  <c r="DC97" i="12" s="1"/>
  <c r="AD150" i="13"/>
  <c r="AK150" i="13"/>
  <c r="AG150" i="13"/>
  <c r="DD150" i="13" s="1"/>
  <c r="AL150" i="13"/>
  <c r="AH150" i="13"/>
  <c r="AA150" i="13"/>
  <c r="AB150" i="13"/>
  <c r="DB150" i="13" s="1"/>
  <c r="AM150" i="13"/>
  <c r="AE150" i="13"/>
  <c r="AN150" i="13"/>
  <c r="AF150" i="13"/>
  <c r="DC150" i="13" s="1"/>
  <c r="AJ150" i="13"/>
  <c r="DE150" i="13" s="1"/>
  <c r="AI150" i="13"/>
  <c r="AC150" i="13"/>
  <c r="AK149" i="13"/>
  <c r="AB149" i="13"/>
  <c r="DB149" i="13" s="1"/>
  <c r="AD149" i="13"/>
  <c r="AJ149" i="13"/>
  <c r="DE149" i="13" s="1"/>
  <c r="AL149" i="13"/>
  <c r="AA149" i="13"/>
  <c r="AE149" i="13"/>
  <c r="AH149" i="13"/>
  <c r="AM149" i="13"/>
  <c r="AI149" i="13"/>
  <c r="AF149" i="13"/>
  <c r="DC149" i="13" s="1"/>
  <c r="AC149" i="13"/>
  <c r="AG149" i="13"/>
  <c r="DD149" i="13" s="1"/>
  <c r="AN149" i="13"/>
  <c r="AK152" i="13"/>
  <c r="AI152" i="13"/>
  <c r="AE152" i="13"/>
  <c r="AA152" i="13"/>
  <c r="AN152" i="13"/>
  <c r="AJ152" i="13"/>
  <c r="DE152" i="13" s="1"/>
  <c r="AF152" i="13"/>
  <c r="DC152" i="13" s="1"/>
  <c r="AB152" i="13"/>
  <c r="DB152" i="13" s="1"/>
  <c r="AC152" i="13"/>
  <c r="AL152" i="13"/>
  <c r="AG152" i="13"/>
  <c r="DD152" i="13" s="1"/>
  <c r="AD152" i="13"/>
  <c r="AH152" i="13"/>
  <c r="AM152" i="13"/>
  <c r="C63" i="12"/>
  <c r="C69" i="12"/>
  <c r="C66" i="12"/>
  <c r="C72" i="12"/>
  <c r="C64" i="12"/>
  <c r="C65" i="12"/>
  <c r="C71" i="12"/>
  <c r="C70" i="12"/>
  <c r="C62" i="12"/>
  <c r="C68" i="12"/>
  <c r="C73" i="12"/>
  <c r="C67" i="12"/>
  <c r="C74" i="12"/>
  <c r="E90" i="12"/>
  <c r="E88" i="12"/>
  <c r="E89" i="12"/>
  <c r="E93" i="12"/>
  <c r="E92" i="12"/>
  <c r="E97" i="12"/>
  <c r="E98" i="12"/>
  <c r="E94" i="12"/>
  <c r="E91" i="12"/>
  <c r="E95" i="12"/>
  <c r="E99" i="12"/>
  <c r="E96" i="12"/>
  <c r="E100" i="12"/>
  <c r="BR65" i="12"/>
  <c r="DN65" i="12" s="1"/>
  <c r="BQ65" i="12"/>
  <c r="CB65" i="12"/>
  <c r="BT65" i="12"/>
  <c r="BU65" i="12"/>
  <c r="BZ65" i="12"/>
  <c r="DQ65" i="12" s="1"/>
  <c r="CC65" i="12"/>
  <c r="BS65" i="12"/>
  <c r="BW65" i="12"/>
  <c r="DP65" i="12" s="1"/>
  <c r="BY65" i="12"/>
  <c r="BV65" i="12"/>
  <c r="DO65" i="12" s="1"/>
  <c r="BX65" i="12"/>
  <c r="CA65" i="12"/>
  <c r="CD65" i="12"/>
  <c r="BU67" i="12"/>
  <c r="BS67" i="12"/>
  <c r="CB67" i="12"/>
  <c r="CA67" i="12"/>
  <c r="BW67" i="12"/>
  <c r="DP67" i="12" s="1"/>
  <c r="BT67" i="12"/>
  <c r="BQ67" i="12"/>
  <c r="CD67" i="12"/>
  <c r="BY67" i="12"/>
  <c r="BV67" i="12"/>
  <c r="DO67" i="12" s="1"/>
  <c r="BZ67" i="12"/>
  <c r="DQ67" i="12" s="1"/>
  <c r="BX67" i="12"/>
  <c r="CC67" i="12"/>
  <c r="BR67" i="12"/>
  <c r="DN67" i="12" s="1"/>
  <c r="BQ106" i="13"/>
  <c r="BY106" i="13"/>
  <c r="BT106" i="13"/>
  <c r="BR106" i="13"/>
  <c r="DN106" i="13" s="1"/>
  <c r="CB106" i="13"/>
  <c r="BZ106" i="13"/>
  <c r="DQ106" i="13" s="1"/>
  <c r="BV106" i="13"/>
  <c r="DO106" i="13" s="1"/>
  <c r="BS106" i="13"/>
  <c r="CD106" i="13"/>
  <c r="CA106" i="13"/>
  <c r="BX106" i="13"/>
  <c r="BU106" i="13"/>
  <c r="BW106" i="13"/>
  <c r="DP106" i="13" s="1"/>
  <c r="CC106" i="13"/>
  <c r="BZ112" i="13"/>
  <c r="DQ112" i="13" s="1"/>
  <c r="BY112" i="13"/>
  <c r="BR112" i="13"/>
  <c r="DN112" i="13" s="1"/>
  <c r="BW112" i="13"/>
  <c r="DP112" i="13" s="1"/>
  <c r="CB112" i="13"/>
  <c r="BX112" i="13"/>
  <c r="BT112" i="13"/>
  <c r="CC112" i="13"/>
  <c r="CA112" i="13"/>
  <c r="CD112" i="13"/>
  <c r="BS112" i="13"/>
  <c r="BQ112" i="13"/>
  <c r="BU112" i="13"/>
  <c r="BV112" i="13"/>
  <c r="DO112" i="13" s="1"/>
  <c r="AI95" i="12"/>
  <c r="AJ95" i="12"/>
  <c r="DE95" i="12" s="1"/>
  <c r="AE95" i="12"/>
  <c r="AC95" i="12"/>
  <c r="AM95" i="12"/>
  <c r="AK95" i="12"/>
  <c r="AF95" i="12"/>
  <c r="DC95" i="12" s="1"/>
  <c r="AN95" i="12"/>
  <c r="AB95" i="12"/>
  <c r="DB95" i="12" s="1"/>
  <c r="AG95" i="12"/>
  <c r="DD95" i="12" s="1"/>
  <c r="AH95" i="12"/>
  <c r="AA95" i="12"/>
  <c r="AD95" i="12"/>
  <c r="AL95" i="12"/>
  <c r="AJ88" i="12"/>
  <c r="DE88" i="12" s="1"/>
  <c r="AK88" i="12"/>
  <c r="AG88" i="12"/>
  <c r="DD88" i="12" s="1"/>
  <c r="AH88" i="12"/>
  <c r="AA88" i="12"/>
  <c r="AC88" i="12"/>
  <c r="AI88" i="12"/>
  <c r="AD88" i="12"/>
  <c r="AE88" i="12"/>
  <c r="AF88" i="12"/>
  <c r="DC88" i="12" s="1"/>
  <c r="AL88" i="12"/>
  <c r="AM88" i="12"/>
  <c r="AN88" i="12"/>
  <c r="AB88" i="12"/>
  <c r="DB88" i="12" s="1"/>
  <c r="AD154" i="13"/>
  <c r="AL154" i="13"/>
  <c r="AA154" i="13"/>
  <c r="AE154" i="13"/>
  <c r="AI154" i="13"/>
  <c r="AM154" i="13"/>
  <c r="AB154" i="13"/>
  <c r="DB154" i="13" s="1"/>
  <c r="AF154" i="13"/>
  <c r="DC154" i="13" s="1"/>
  <c r="AJ154" i="13"/>
  <c r="DE154" i="13" s="1"/>
  <c r="AN154" i="13"/>
  <c r="AK154" i="13"/>
  <c r="AH154" i="13"/>
  <c r="AC154" i="13"/>
  <c r="AG154" i="13"/>
  <c r="DD154" i="13" s="1"/>
  <c r="AI153" i="13"/>
  <c r="AE153" i="13"/>
  <c r="AB153" i="13"/>
  <c r="DB153" i="13" s="1"/>
  <c r="AM153" i="13"/>
  <c r="AJ153" i="13"/>
  <c r="DE153" i="13" s="1"/>
  <c r="AF153" i="13"/>
  <c r="DC153" i="13" s="1"/>
  <c r="AC153" i="13"/>
  <c r="AN153" i="13"/>
  <c r="AK153" i="13"/>
  <c r="AG153" i="13"/>
  <c r="DD153" i="13" s="1"/>
  <c r="AD153" i="13"/>
  <c r="AL153" i="13"/>
  <c r="AH153" i="13"/>
  <c r="AA153" i="13"/>
  <c r="AM156" i="13"/>
  <c r="AB156" i="13"/>
  <c r="DB156" i="13" s="1"/>
  <c r="AI156" i="13"/>
  <c r="AJ156" i="13"/>
  <c r="DE156" i="13" s="1"/>
  <c r="AE156" i="13"/>
  <c r="AA156" i="13"/>
  <c r="AN156" i="13"/>
  <c r="AK156" i="13"/>
  <c r="AF156" i="13"/>
  <c r="DC156" i="13" s="1"/>
  <c r="AC156" i="13"/>
  <c r="AG156" i="13"/>
  <c r="DD156" i="13" s="1"/>
  <c r="AL156" i="13"/>
  <c r="AD156" i="13"/>
  <c r="AH156" i="13"/>
  <c r="AM83" i="14"/>
  <c r="AI83" i="14"/>
  <c r="AE83" i="14"/>
  <c r="AA83" i="14"/>
  <c r="AL83" i="14"/>
  <c r="AH83" i="14"/>
  <c r="AD83" i="14"/>
  <c r="AG83" i="14"/>
  <c r="DD83" i="14" s="1"/>
  <c r="AK83" i="14"/>
  <c r="AC83" i="14"/>
  <c r="AJ83" i="14"/>
  <c r="DE83" i="14" s="1"/>
  <c r="AF83" i="14"/>
  <c r="DC83" i="14" s="1"/>
  <c r="AN83" i="14"/>
  <c r="AB83" i="14"/>
  <c r="DB83" i="14" s="1"/>
  <c r="E64" i="12"/>
  <c r="E65" i="12"/>
  <c r="E68" i="12"/>
  <c r="E73" i="12"/>
  <c r="E63" i="12"/>
  <c r="E62" i="12"/>
  <c r="E66" i="12"/>
  <c r="E71" i="12"/>
  <c r="E72" i="12"/>
  <c r="E69" i="12"/>
  <c r="E70" i="12"/>
  <c r="E67" i="12"/>
  <c r="E74" i="12"/>
  <c r="Q8" i="7"/>
  <c r="BS62" i="12"/>
  <c r="BW62" i="12"/>
  <c r="DP62" i="12" s="1"/>
  <c r="BX62" i="12"/>
  <c r="BV62" i="12"/>
  <c r="DO62" i="12" s="1"/>
  <c r="BU62" i="12"/>
  <c r="BZ62" i="12"/>
  <c r="DQ62" i="12" s="1"/>
  <c r="BY62" i="12"/>
  <c r="CB62" i="12"/>
  <c r="CA62" i="12"/>
  <c r="BR62" i="12"/>
  <c r="DN62" i="12" s="1"/>
  <c r="BQ62" i="12"/>
  <c r="BT62" i="12"/>
  <c r="CD62" i="12"/>
  <c r="CC62" i="12"/>
  <c r="BU63" i="12"/>
  <c r="BR63" i="12"/>
  <c r="DN63" i="12" s="1"/>
  <c r="CC63" i="12"/>
  <c r="BS63" i="12"/>
  <c r="BV63" i="12"/>
  <c r="DO63" i="12" s="1"/>
  <c r="CB63" i="12"/>
  <c r="BT63" i="12"/>
  <c r="BQ63" i="12"/>
  <c r="BZ63" i="12"/>
  <c r="DQ63" i="12" s="1"/>
  <c r="BX63" i="12"/>
  <c r="BW63" i="12"/>
  <c r="DP63" i="12" s="1"/>
  <c r="BY63" i="12"/>
  <c r="CA63" i="12"/>
  <c r="CD63" i="12"/>
  <c r="BU103" i="13"/>
  <c r="CA103" i="13"/>
  <c r="CC103" i="13"/>
  <c r="BS103" i="13"/>
  <c r="BV103" i="13"/>
  <c r="DO103" i="13" s="1"/>
  <c r="CD103" i="13"/>
  <c r="BZ103" i="13"/>
  <c r="DQ103" i="13" s="1"/>
  <c r="BX103" i="13"/>
  <c r="BT103" i="13"/>
  <c r="BQ103" i="13"/>
  <c r="BW103" i="13"/>
  <c r="DP103" i="13" s="1"/>
  <c r="BR103" i="13"/>
  <c r="DN103" i="13" s="1"/>
  <c r="CB103" i="13"/>
  <c r="BY103" i="13"/>
  <c r="CD114" i="13"/>
  <c r="BR114" i="13"/>
  <c r="DN114" i="13" s="1"/>
  <c r="BW114" i="13"/>
  <c r="DP114" i="13" s="1"/>
  <c r="BX114" i="13"/>
  <c r="BT114" i="13"/>
  <c r="BS114" i="13"/>
  <c r="CB114" i="13"/>
  <c r="CA114" i="13"/>
  <c r="BU114" i="13"/>
  <c r="BY114" i="13"/>
  <c r="CC114" i="13"/>
  <c r="BV114" i="13"/>
  <c r="DO114" i="13" s="1"/>
  <c r="BQ114" i="13"/>
  <c r="BZ114" i="13"/>
  <c r="DQ114" i="13" s="1"/>
  <c r="AK99" i="12"/>
  <c r="AF99" i="12"/>
  <c r="DC99" i="12" s="1"/>
  <c r="AL99" i="12"/>
  <c r="AN99" i="12"/>
  <c r="AG99" i="12"/>
  <c r="DD99" i="12" s="1"/>
  <c r="AE99" i="12"/>
  <c r="AM99" i="12"/>
  <c r="AH99" i="12"/>
  <c r="AD99" i="12"/>
  <c r="AA99" i="12"/>
  <c r="AB99" i="12"/>
  <c r="DB99" i="12" s="1"/>
  <c r="AC99" i="12"/>
  <c r="AI99" i="12"/>
  <c r="AJ99" i="12"/>
  <c r="DE99" i="12" s="1"/>
  <c r="AI90" i="12"/>
  <c r="AA90" i="12"/>
  <c r="AH90" i="12"/>
  <c r="AG90" i="12"/>
  <c r="DD90" i="12" s="1"/>
  <c r="AN90" i="12"/>
  <c r="AF90" i="12"/>
  <c r="DC90" i="12" s="1"/>
  <c r="AM90" i="12"/>
  <c r="AE90" i="12"/>
  <c r="AL90" i="12"/>
  <c r="AD90" i="12"/>
  <c r="AK90" i="12"/>
  <c r="AC90" i="12"/>
  <c r="AJ90" i="12"/>
  <c r="DE90" i="12" s="1"/>
  <c r="AB90" i="12"/>
  <c r="DB90" i="12" s="1"/>
  <c r="AB158" i="13"/>
  <c r="DB158" i="13" s="1"/>
  <c r="AM158" i="13"/>
  <c r="AJ158" i="13"/>
  <c r="DE158" i="13" s="1"/>
  <c r="AF158" i="13"/>
  <c r="DC158" i="13" s="1"/>
  <c r="AD158" i="13"/>
  <c r="AN158" i="13"/>
  <c r="AH158" i="13"/>
  <c r="AG158" i="13"/>
  <c r="DD158" i="13" s="1"/>
  <c r="AC158" i="13"/>
  <c r="AK158" i="13"/>
  <c r="AE158" i="13"/>
  <c r="AA158" i="13"/>
  <c r="AL158" i="13"/>
  <c r="AI158" i="13"/>
  <c r="AB157" i="13"/>
  <c r="DB157" i="13" s="1"/>
  <c r="AF157" i="13"/>
  <c r="DC157" i="13" s="1"/>
  <c r="AJ157" i="13"/>
  <c r="DE157" i="13" s="1"/>
  <c r="AC157" i="13"/>
  <c r="AG157" i="13"/>
  <c r="DD157" i="13" s="1"/>
  <c r="AK157" i="13"/>
  <c r="AH157" i="13"/>
  <c r="AD157" i="13"/>
  <c r="AA157" i="13"/>
  <c r="AL157" i="13"/>
  <c r="AI157" i="13"/>
  <c r="AN157" i="13"/>
  <c r="AM157" i="13"/>
  <c r="AE157" i="13"/>
  <c r="AE81" i="14"/>
  <c r="AI81" i="14"/>
  <c r="AL81" i="14"/>
  <c r="AA81" i="14"/>
  <c r="AD81" i="14"/>
  <c r="AH81" i="14"/>
  <c r="AG81" i="14"/>
  <c r="DD81" i="14" s="1"/>
  <c r="AN81" i="14"/>
  <c r="AK81" i="14"/>
  <c r="AF81" i="14"/>
  <c r="DC81" i="14" s="1"/>
  <c r="AC81" i="14"/>
  <c r="AM81" i="14"/>
  <c r="AB81" i="14"/>
  <c r="DB81" i="14" s="1"/>
  <c r="AJ81" i="14"/>
  <c r="DE81" i="14" s="1"/>
  <c r="BU73" i="12"/>
  <c r="CB73" i="12"/>
  <c r="BW73" i="12"/>
  <c r="DP73" i="12" s="1"/>
  <c r="BS73" i="12"/>
  <c r="BZ73" i="12"/>
  <c r="DQ73" i="12" s="1"/>
  <c r="BY73" i="12"/>
  <c r="CD73" i="12"/>
  <c r="BR73" i="12"/>
  <c r="DN73" i="12" s="1"/>
  <c r="BQ73" i="12"/>
  <c r="CA73" i="12"/>
  <c r="BX73" i="12"/>
  <c r="BV73" i="12"/>
  <c r="DO73" i="12" s="1"/>
  <c r="CC73" i="12"/>
  <c r="BT73" i="12"/>
  <c r="BY105" i="13"/>
  <c r="CD105" i="13"/>
  <c r="BS105" i="13"/>
  <c r="BW105" i="13"/>
  <c r="DP105" i="13" s="1"/>
  <c r="CA105" i="13"/>
  <c r="BX105" i="13"/>
  <c r="BT105" i="13"/>
  <c r="BZ105" i="13"/>
  <c r="DQ105" i="13" s="1"/>
  <c r="CB105" i="13"/>
  <c r="BR105" i="13"/>
  <c r="DN105" i="13" s="1"/>
  <c r="BU105" i="13"/>
  <c r="CC105" i="13"/>
  <c r="BV105" i="13"/>
  <c r="DO105" i="13" s="1"/>
  <c r="BQ105" i="13"/>
  <c r="D72" i="12"/>
  <c r="D69" i="12"/>
  <c r="D70" i="12"/>
  <c r="D64" i="12"/>
  <c r="D65" i="12"/>
  <c r="D71" i="12"/>
  <c r="D68" i="12"/>
  <c r="D73" i="12"/>
  <c r="D63" i="12"/>
  <c r="D67" i="12"/>
  <c r="D66" i="12"/>
  <c r="D62" i="12"/>
  <c r="D74" i="12"/>
  <c r="G90" i="12"/>
  <c r="G98" i="12"/>
  <c r="G89" i="12"/>
  <c r="G92" i="12"/>
  <c r="G94" i="12"/>
  <c r="G97" i="12"/>
  <c r="G88" i="12"/>
  <c r="G93" i="12"/>
  <c r="G96" i="12"/>
  <c r="G99" i="12"/>
  <c r="G91" i="12"/>
  <c r="G95" i="12"/>
  <c r="G100" i="12"/>
  <c r="BS68" i="12"/>
  <c r="BQ68" i="12"/>
  <c r="BU68" i="12"/>
  <c r="BR68" i="12"/>
  <c r="DN68" i="12" s="1"/>
  <c r="CB68" i="12"/>
  <c r="BY68" i="12"/>
  <c r="BZ68" i="12"/>
  <c r="DQ68" i="12" s="1"/>
  <c r="BW68" i="12"/>
  <c r="DP68" i="12" s="1"/>
  <c r="BT68" i="12"/>
  <c r="CC68" i="12"/>
  <c r="CD68" i="12"/>
  <c r="BV68" i="12"/>
  <c r="DO68" i="12" s="1"/>
  <c r="CA68" i="12"/>
  <c r="BX68" i="12"/>
  <c r="BQ72" i="12"/>
  <c r="BV72" i="12"/>
  <c r="DO72" i="12" s="1"/>
  <c r="CC72" i="12"/>
  <c r="BS72" i="12"/>
  <c r="BR72" i="12"/>
  <c r="DN72" i="12" s="1"/>
  <c r="BY72" i="12"/>
  <c r="BU72" i="12"/>
  <c r="BT72" i="12"/>
  <c r="CB72" i="12"/>
  <c r="BX72" i="12"/>
  <c r="BW72" i="12"/>
  <c r="DP72" i="12" s="1"/>
  <c r="CD72" i="12"/>
  <c r="CA72" i="12"/>
  <c r="BZ72" i="12"/>
  <c r="DQ72" i="12" s="1"/>
  <c r="BY107" i="13"/>
  <c r="BR107" i="13"/>
  <c r="DN107" i="13" s="1"/>
  <c r="BS107" i="13"/>
  <c r="BU107" i="13"/>
  <c r="CA107" i="13"/>
  <c r="BW107" i="13"/>
  <c r="DP107" i="13" s="1"/>
  <c r="BT107" i="13"/>
  <c r="BZ107" i="13"/>
  <c r="DQ107" i="13" s="1"/>
  <c r="CB107" i="13"/>
  <c r="BX107" i="13"/>
  <c r="CD107" i="13"/>
  <c r="BQ107" i="13"/>
  <c r="BV107" i="13"/>
  <c r="DO107" i="13" s="1"/>
  <c r="CC107" i="13"/>
  <c r="BR36" i="14"/>
  <c r="DN36" i="14" s="1"/>
  <c r="BX36" i="14"/>
  <c r="BS36" i="14"/>
  <c r="BW36" i="14"/>
  <c r="DP36" i="14" s="1"/>
  <c r="CA36" i="14"/>
  <c r="BY36" i="14"/>
  <c r="BV36" i="14"/>
  <c r="DO36" i="14" s="1"/>
  <c r="CC36" i="14"/>
  <c r="CD36" i="14"/>
  <c r="BU36" i="14"/>
  <c r="BQ36" i="14"/>
  <c r="CB36" i="14"/>
  <c r="BZ36" i="14"/>
  <c r="DQ36" i="14" s="1"/>
  <c r="BT36" i="14"/>
  <c r="BR108" i="13"/>
  <c r="DN108" i="13" s="1"/>
  <c r="BV108" i="13"/>
  <c r="DO108" i="13" s="1"/>
  <c r="BZ108" i="13"/>
  <c r="DQ108" i="13" s="1"/>
  <c r="CD108" i="13"/>
  <c r="BS108" i="13"/>
  <c r="BX108" i="13"/>
  <c r="CA108" i="13"/>
  <c r="BW108" i="13"/>
  <c r="DP108" i="13" s="1"/>
  <c r="CB108" i="13"/>
  <c r="BQ108" i="13"/>
  <c r="BU108" i="13"/>
  <c r="BY108" i="13"/>
  <c r="BT108" i="13"/>
  <c r="CC108" i="13"/>
  <c r="AM93" i="12"/>
  <c r="AK93" i="12"/>
  <c r="AD93" i="12"/>
  <c r="AL93" i="12"/>
  <c r="AG93" i="12"/>
  <c r="DD93" i="12" s="1"/>
  <c r="AH93" i="12"/>
  <c r="AA93" i="12"/>
  <c r="AF93" i="12"/>
  <c r="DC93" i="12" s="1"/>
  <c r="AI93" i="12"/>
  <c r="AB93" i="12"/>
  <c r="DB93" i="12" s="1"/>
  <c r="AJ93" i="12"/>
  <c r="DE93" i="12" s="1"/>
  <c r="AN93" i="12"/>
  <c r="AC93" i="12"/>
  <c r="AE93" i="12"/>
  <c r="AJ84" i="14"/>
  <c r="DE84" i="14" s="1"/>
  <c r="AF84" i="14"/>
  <c r="DC84" i="14" s="1"/>
  <c r="AB84" i="14"/>
  <c r="DB84" i="14" s="1"/>
  <c r="AL84" i="14"/>
  <c r="AA84" i="14"/>
  <c r="AE84" i="14"/>
  <c r="AH84" i="14"/>
  <c r="AK84" i="14"/>
  <c r="AG84" i="14"/>
  <c r="DD84" i="14" s="1"/>
  <c r="AC84" i="14"/>
  <c r="AI84" i="14"/>
  <c r="AM84" i="14"/>
  <c r="AN84" i="14"/>
  <c r="AD84" i="14"/>
  <c r="AN79" i="14"/>
  <c r="AB79" i="14"/>
  <c r="DB79" i="14" s="1"/>
  <c r="AF79" i="14"/>
  <c r="DC79" i="14" s="1"/>
  <c r="AM79" i="14"/>
  <c r="AI79" i="14"/>
  <c r="AE79" i="14"/>
  <c r="AA79" i="14"/>
  <c r="AL79" i="14"/>
  <c r="AH79" i="14"/>
  <c r="AD79" i="14"/>
  <c r="AC79" i="14"/>
  <c r="AJ79" i="14"/>
  <c r="DE79" i="14" s="1"/>
  <c r="AG79" i="14"/>
  <c r="DD79" i="14" s="1"/>
  <c r="AK79" i="14"/>
  <c r="AN82" i="14"/>
  <c r="AA82" i="14"/>
  <c r="AF82" i="14"/>
  <c r="DC82" i="14" s="1"/>
  <c r="AJ82" i="14"/>
  <c r="DE82" i="14" s="1"/>
  <c r="AE82" i="14"/>
  <c r="AH82" i="14"/>
  <c r="AL82" i="14"/>
  <c r="AG82" i="14"/>
  <c r="DD82" i="14" s="1"/>
  <c r="AK82" i="14"/>
  <c r="AC82" i="14"/>
  <c r="AB82" i="14"/>
  <c r="DB82" i="14" s="1"/>
  <c r="AM82" i="14"/>
  <c r="AI82" i="14"/>
  <c r="AD82" i="14"/>
  <c r="AC85" i="14"/>
  <c r="AJ85" i="14"/>
  <c r="DE85" i="14" s="1"/>
  <c r="AM85" i="14"/>
  <c r="AB85" i="14"/>
  <c r="DB85" i="14" s="1"/>
  <c r="AE85" i="14"/>
  <c r="AI85" i="14"/>
  <c r="AL85" i="14"/>
  <c r="AA85" i="14"/>
  <c r="AD85" i="14"/>
  <c r="AH85" i="14"/>
  <c r="AK85" i="14"/>
  <c r="AF85" i="14"/>
  <c r="DC85" i="14" s="1"/>
  <c r="AN85" i="14"/>
  <c r="AG85" i="14"/>
  <c r="DD85" i="14" s="1"/>
  <c r="X9" i="7"/>
  <c r="Q5" i="7"/>
  <c r="Q12" i="7" s="1"/>
  <c r="V9" i="7"/>
  <c r="T9" i="7"/>
  <c r="G269" i="8"/>
  <c r="P274" i="8"/>
  <c r="P299" i="8" s="1"/>
  <c r="G277" i="8"/>
  <c r="H277" i="8"/>
  <c r="H269" i="8"/>
  <c r="G279" i="8"/>
  <c r="O270" i="8"/>
  <c r="H283" i="8"/>
  <c r="Q270" i="8"/>
  <c r="P284" i="8"/>
  <c r="P305" i="8" s="1"/>
  <c r="H273" i="8"/>
  <c r="H287" i="8"/>
  <c r="E274" i="8"/>
  <c r="P282" i="8"/>
  <c r="P304" i="8" s="1"/>
  <c r="E270" i="8"/>
  <c r="O274" i="8"/>
  <c r="E278" i="8"/>
  <c r="Q282" i="8"/>
  <c r="P270" i="8"/>
  <c r="P297" i="8" s="1"/>
  <c r="Q274" i="8"/>
  <c r="H279" i="8"/>
  <c r="E284" i="8"/>
  <c r="O268" i="8"/>
  <c r="H275" i="8"/>
  <c r="E280" i="8"/>
  <c r="H281" i="8"/>
  <c r="P268" i="8"/>
  <c r="P296" i="8" s="1"/>
  <c r="E272" i="8"/>
  <c r="P276" i="8"/>
  <c r="P300" i="8" s="1"/>
  <c r="P280" i="8"/>
  <c r="P303" i="8" s="1"/>
  <c r="Q284" i="8"/>
  <c r="Q268" i="8"/>
  <c r="G273" i="8"/>
  <c r="Q276" i="8"/>
  <c r="Q280" i="8"/>
  <c r="E286" i="8"/>
  <c r="Q278" i="8"/>
  <c r="E269" i="8"/>
  <c r="Q269" i="8"/>
  <c r="E271" i="8"/>
  <c r="Q271" i="8"/>
  <c r="E273" i="8"/>
  <c r="Q273" i="8"/>
  <c r="Q298" i="8" s="1"/>
  <c r="E275" i="8"/>
  <c r="Q275" i="8"/>
  <c r="E277" i="8"/>
  <c r="Q277" i="8"/>
  <c r="E279" i="8"/>
  <c r="Q279" i="8"/>
  <c r="E281" i="8"/>
  <c r="Q281" i="8"/>
  <c r="E283" i="8"/>
  <c r="Q283" i="8"/>
  <c r="E285" i="8"/>
  <c r="Q285" i="8"/>
  <c r="E287" i="8"/>
  <c r="Q287" i="8"/>
  <c r="E268" i="8"/>
  <c r="E276" i="8"/>
  <c r="Q286" i="8"/>
  <c r="R269" i="8"/>
  <c r="F271" i="8"/>
  <c r="R271" i="8"/>
  <c r="R273" i="8"/>
  <c r="F275" i="8"/>
  <c r="R275" i="8"/>
  <c r="R277" i="8"/>
  <c r="R279" i="8"/>
  <c r="F281" i="8"/>
  <c r="R281" i="8"/>
  <c r="F283" i="8"/>
  <c r="R283" i="8"/>
  <c r="F285" i="8"/>
  <c r="R285" i="8"/>
  <c r="F287" i="8"/>
  <c r="R287" i="8"/>
  <c r="G271" i="8"/>
  <c r="O272" i="8"/>
  <c r="O276" i="8"/>
  <c r="O278" i="8"/>
  <c r="O280" i="8"/>
  <c r="O282" i="8"/>
  <c r="O284" i="8"/>
  <c r="G285" i="8"/>
  <c r="O286" i="8"/>
  <c r="P272" i="8"/>
  <c r="P298" i="8" s="1"/>
  <c r="P278" i="8"/>
  <c r="P302" i="8" s="1"/>
  <c r="P286" i="8"/>
  <c r="P306" i="8" s="1"/>
  <c r="F268" i="8"/>
  <c r="F296" i="8" s="1"/>
  <c r="F270" i="8"/>
  <c r="F272" i="8"/>
  <c r="F298" i="8" s="1"/>
  <c r="R272" i="8"/>
  <c r="F274" i="8"/>
  <c r="F276" i="8"/>
  <c r="F300" i="8" s="1"/>
  <c r="F278" i="8"/>
  <c r="F302" i="8" s="1"/>
  <c r="F280" i="8"/>
  <c r="F282" i="8"/>
  <c r="F284" i="8"/>
  <c r="F286" i="8"/>
  <c r="F306" i="8" s="1"/>
  <c r="G268" i="8"/>
  <c r="O269" i="8"/>
  <c r="G270" i="8"/>
  <c r="O271" i="8"/>
  <c r="O297" i="8" s="1"/>
  <c r="G272" i="8"/>
  <c r="O273" i="8"/>
  <c r="G274" i="8"/>
  <c r="G299" i="8" s="1"/>
  <c r="O275" i="8"/>
  <c r="G276" i="8"/>
  <c r="O277" i="8"/>
  <c r="G278" i="8"/>
  <c r="G302" i="8" s="1"/>
  <c r="O279" i="8"/>
  <c r="G280" i="8"/>
  <c r="G303" i="8" s="1"/>
  <c r="O281" i="8"/>
  <c r="G282" i="8"/>
  <c r="G304" i="8" s="1"/>
  <c r="O283" i="8"/>
  <c r="G284" i="8"/>
  <c r="O285" i="8"/>
  <c r="G286" i="8"/>
  <c r="G306" i="8" s="1"/>
  <c r="O287" i="8"/>
  <c r="E282" i="8"/>
  <c r="G20" i="5"/>
  <c r="F20" i="5"/>
  <c r="G19" i="5"/>
  <c r="F19" i="5"/>
  <c r="G18" i="5"/>
  <c r="F18" i="5"/>
  <c r="G17" i="5"/>
  <c r="F17" i="5"/>
  <c r="S40" i="1"/>
  <c r="R40" i="1"/>
  <c r="Q40" i="1"/>
  <c r="P40" i="1"/>
  <c r="O40" i="1"/>
  <c r="N40" i="1"/>
  <c r="S39" i="1"/>
  <c r="R39" i="1"/>
  <c r="Q39" i="1"/>
  <c r="P39" i="1"/>
  <c r="O39" i="1"/>
  <c r="N39" i="1"/>
  <c r="S38" i="1"/>
  <c r="R38" i="1"/>
  <c r="Q38" i="1"/>
  <c r="P38" i="1"/>
  <c r="O38" i="1"/>
  <c r="N38" i="1"/>
  <c r="S37" i="1"/>
  <c r="R37" i="1"/>
  <c r="Q37" i="1"/>
  <c r="P37" i="1"/>
  <c r="O37" i="1"/>
  <c r="N37" i="1"/>
  <c r="S36" i="1"/>
  <c r="R36" i="1"/>
  <c r="Q36" i="1"/>
  <c r="P36" i="1"/>
  <c r="O36" i="1"/>
  <c r="N36" i="1"/>
  <c r="S35" i="1"/>
  <c r="R35" i="1"/>
  <c r="Q35" i="1"/>
  <c r="P35" i="1"/>
  <c r="O35" i="1"/>
  <c r="N35" i="1"/>
  <c r="S34" i="1"/>
  <c r="R34" i="1"/>
  <c r="Q34" i="1"/>
  <c r="P34" i="1"/>
  <c r="O34" i="1"/>
  <c r="N34" i="1"/>
  <c r="S33" i="1"/>
  <c r="R33" i="1"/>
  <c r="Q33" i="1"/>
  <c r="P33" i="1"/>
  <c r="O33" i="1"/>
  <c r="N33" i="1"/>
  <c r="S32" i="1"/>
  <c r="R32" i="1"/>
  <c r="Q32" i="1"/>
  <c r="P32" i="1"/>
  <c r="O32" i="1"/>
  <c r="N32" i="1"/>
  <c r="S31" i="1"/>
  <c r="R31" i="1"/>
  <c r="Q31" i="1"/>
  <c r="P31" i="1"/>
  <c r="O31" i="1"/>
  <c r="N31" i="1"/>
  <c r="S30" i="1"/>
  <c r="R30" i="1"/>
  <c r="Q30" i="1"/>
  <c r="P30" i="1"/>
  <c r="O30" i="1"/>
  <c r="N30" i="1"/>
  <c r="S29" i="1"/>
  <c r="R29" i="1"/>
  <c r="Q29" i="1"/>
  <c r="P29" i="1"/>
  <c r="O29" i="1"/>
  <c r="N29" i="1"/>
  <c r="S28" i="1"/>
  <c r="R28" i="1"/>
  <c r="Q28" i="1"/>
  <c r="P28" i="1"/>
  <c r="O28" i="1"/>
  <c r="N28" i="1"/>
  <c r="AQ92" i="4"/>
  <c r="AQ91" i="4"/>
  <c r="AQ90" i="4"/>
  <c r="AQ89" i="4"/>
  <c r="AQ88" i="4"/>
  <c r="AQ87" i="4"/>
  <c r="AQ86" i="4"/>
  <c r="AQ85" i="4"/>
  <c r="AQ84" i="4"/>
  <c r="AQ83" i="4"/>
  <c r="AQ82" i="4"/>
  <c r="AQ81" i="4"/>
  <c r="AQ74" i="4"/>
  <c r="AQ73" i="4"/>
  <c r="AQ72" i="4"/>
  <c r="AQ71" i="4"/>
  <c r="AQ70" i="4"/>
  <c r="AQ69" i="4"/>
  <c r="AQ68" i="4"/>
  <c r="AQ67" i="4"/>
  <c r="AQ66" i="4"/>
  <c r="AQ65" i="4"/>
  <c r="AQ64" i="4"/>
  <c r="AQ63" i="4"/>
  <c r="AP92" i="4"/>
  <c r="AP91" i="4"/>
  <c r="AP90" i="4"/>
  <c r="AP89" i="4"/>
  <c r="AP88" i="4"/>
  <c r="AP87" i="4"/>
  <c r="AP86" i="4"/>
  <c r="AP85" i="4"/>
  <c r="AP84" i="4"/>
  <c r="AP83" i="4"/>
  <c r="AP82" i="4"/>
  <c r="AP81" i="4"/>
  <c r="AP74" i="4"/>
  <c r="AP73" i="4"/>
  <c r="AP72" i="4"/>
  <c r="AP71" i="4"/>
  <c r="AP70" i="4"/>
  <c r="AP69" i="4"/>
  <c r="AP68" i="4"/>
  <c r="AP67" i="4"/>
  <c r="AP66" i="4"/>
  <c r="AP65" i="4"/>
  <c r="AP64" i="4"/>
  <c r="AP63" i="4"/>
  <c r="AO92" i="4"/>
  <c r="AO91" i="4"/>
  <c r="AO90" i="4"/>
  <c r="AO89" i="4"/>
  <c r="AO88" i="4"/>
  <c r="AO87" i="4"/>
  <c r="AO86" i="4"/>
  <c r="AO85" i="4"/>
  <c r="AO84" i="4"/>
  <c r="AO83" i="4"/>
  <c r="AO82" i="4"/>
  <c r="AO81" i="4"/>
  <c r="AO74" i="4"/>
  <c r="AO73" i="4"/>
  <c r="AO72" i="4"/>
  <c r="AO71" i="4"/>
  <c r="AO70" i="4"/>
  <c r="AO69" i="4"/>
  <c r="AO68" i="4"/>
  <c r="AO67" i="4"/>
  <c r="AO66" i="4"/>
  <c r="AO65" i="4"/>
  <c r="AO64" i="4"/>
  <c r="AO63" i="4"/>
  <c r="AG92" i="4"/>
  <c r="AG91" i="4"/>
  <c r="AG90" i="4"/>
  <c r="AG89" i="4"/>
  <c r="AG88" i="4"/>
  <c r="AG87" i="4"/>
  <c r="AG86" i="4"/>
  <c r="AG85" i="4"/>
  <c r="AG84" i="4"/>
  <c r="AG83" i="4"/>
  <c r="AG82" i="4"/>
  <c r="AG81" i="4"/>
  <c r="AG74" i="4"/>
  <c r="AG73" i="4"/>
  <c r="AG72" i="4"/>
  <c r="AG71" i="4"/>
  <c r="AG70" i="4"/>
  <c r="AG69" i="4"/>
  <c r="AG68" i="4"/>
  <c r="AG67" i="4"/>
  <c r="AG66" i="4"/>
  <c r="AG65" i="4"/>
  <c r="AG64" i="4"/>
  <c r="AG63" i="4"/>
  <c r="AF92" i="4"/>
  <c r="AF91" i="4"/>
  <c r="AF90" i="4"/>
  <c r="AF89" i="4"/>
  <c r="AF88" i="4"/>
  <c r="AF87" i="4"/>
  <c r="AF86" i="4"/>
  <c r="AF85" i="4"/>
  <c r="AF84" i="4"/>
  <c r="AF83" i="4"/>
  <c r="AF82" i="4"/>
  <c r="AF81" i="4"/>
  <c r="AF74" i="4"/>
  <c r="AF73" i="4"/>
  <c r="AF72" i="4"/>
  <c r="AF71" i="4"/>
  <c r="AF70" i="4"/>
  <c r="AF69" i="4"/>
  <c r="AF68" i="4"/>
  <c r="AF67" i="4"/>
  <c r="AF66" i="4"/>
  <c r="AF65" i="4"/>
  <c r="AF64" i="4"/>
  <c r="AF63" i="4"/>
  <c r="AE90" i="4"/>
  <c r="AE92" i="4"/>
  <c r="AE91" i="4"/>
  <c r="AE89" i="4"/>
  <c r="AE88" i="4"/>
  <c r="AE87" i="4"/>
  <c r="AE86" i="4"/>
  <c r="AE85" i="4"/>
  <c r="AE84" i="4"/>
  <c r="AE83" i="4"/>
  <c r="AE82" i="4"/>
  <c r="AE81" i="4"/>
  <c r="AE74" i="4"/>
  <c r="AE73" i="4"/>
  <c r="AE72" i="4"/>
  <c r="AE71" i="4"/>
  <c r="AE70" i="4"/>
  <c r="AE69" i="4"/>
  <c r="AE68" i="4"/>
  <c r="AE67" i="4"/>
  <c r="AE66" i="4"/>
  <c r="AE65" i="4"/>
  <c r="AE64" i="4"/>
  <c r="AE63" i="4"/>
  <c r="W92" i="4"/>
  <c r="V92" i="4"/>
  <c r="U92" i="4"/>
  <c r="T92" i="4"/>
  <c r="S92" i="4"/>
  <c r="R92" i="4"/>
  <c r="Q92" i="4"/>
  <c r="P92" i="4"/>
  <c r="O92" i="4"/>
  <c r="N92" i="4"/>
  <c r="M92" i="4"/>
  <c r="L92" i="4"/>
  <c r="K92" i="4"/>
  <c r="J92" i="4"/>
  <c r="I92" i="4"/>
  <c r="H92" i="4"/>
  <c r="G92" i="4"/>
  <c r="F92" i="4"/>
  <c r="W91" i="4"/>
  <c r="V91" i="4"/>
  <c r="U91" i="4"/>
  <c r="T91" i="4"/>
  <c r="S91" i="4"/>
  <c r="R91" i="4"/>
  <c r="Q91" i="4"/>
  <c r="P91" i="4"/>
  <c r="O91" i="4"/>
  <c r="N91" i="4"/>
  <c r="M91" i="4"/>
  <c r="L91" i="4"/>
  <c r="K91" i="4"/>
  <c r="J91" i="4"/>
  <c r="I91" i="4"/>
  <c r="H91" i="4"/>
  <c r="G91" i="4"/>
  <c r="F91" i="4"/>
  <c r="W90" i="4"/>
  <c r="V90" i="4"/>
  <c r="U90" i="4"/>
  <c r="T90" i="4"/>
  <c r="S90" i="4"/>
  <c r="R90" i="4"/>
  <c r="Q90" i="4"/>
  <c r="P90" i="4"/>
  <c r="O90" i="4"/>
  <c r="N90" i="4"/>
  <c r="M90" i="4"/>
  <c r="L90" i="4"/>
  <c r="K90" i="4"/>
  <c r="J90" i="4"/>
  <c r="I90" i="4"/>
  <c r="H90" i="4"/>
  <c r="G90" i="4"/>
  <c r="F90" i="4"/>
  <c r="W89" i="4"/>
  <c r="V89" i="4"/>
  <c r="U89" i="4"/>
  <c r="T89" i="4"/>
  <c r="S89" i="4"/>
  <c r="R89" i="4"/>
  <c r="Q89" i="4"/>
  <c r="P89" i="4"/>
  <c r="O89" i="4"/>
  <c r="N89" i="4"/>
  <c r="M89" i="4"/>
  <c r="L89" i="4"/>
  <c r="K89" i="4"/>
  <c r="J89" i="4"/>
  <c r="I89" i="4"/>
  <c r="H89" i="4"/>
  <c r="G89" i="4"/>
  <c r="F89" i="4"/>
  <c r="W88" i="4"/>
  <c r="V88" i="4"/>
  <c r="U88" i="4"/>
  <c r="T88" i="4"/>
  <c r="S88" i="4"/>
  <c r="R88" i="4"/>
  <c r="Q88" i="4"/>
  <c r="P88" i="4"/>
  <c r="O88" i="4"/>
  <c r="N88" i="4"/>
  <c r="M88" i="4"/>
  <c r="L88" i="4"/>
  <c r="K88" i="4"/>
  <c r="J88" i="4"/>
  <c r="I88" i="4"/>
  <c r="H88" i="4"/>
  <c r="G88" i="4"/>
  <c r="F88" i="4"/>
  <c r="W87" i="4"/>
  <c r="V87" i="4"/>
  <c r="U87" i="4"/>
  <c r="T87" i="4"/>
  <c r="S87" i="4"/>
  <c r="R87" i="4"/>
  <c r="Q87" i="4"/>
  <c r="P87" i="4"/>
  <c r="O87" i="4"/>
  <c r="N87" i="4"/>
  <c r="M87" i="4"/>
  <c r="L87" i="4"/>
  <c r="K87" i="4"/>
  <c r="J87" i="4"/>
  <c r="I87" i="4"/>
  <c r="H87" i="4"/>
  <c r="G87" i="4"/>
  <c r="F87" i="4"/>
  <c r="W86" i="4"/>
  <c r="V86" i="4"/>
  <c r="U86" i="4"/>
  <c r="T86" i="4"/>
  <c r="S86" i="4"/>
  <c r="R86" i="4"/>
  <c r="Q86" i="4"/>
  <c r="P86" i="4"/>
  <c r="O86" i="4"/>
  <c r="N86" i="4"/>
  <c r="M86" i="4"/>
  <c r="L86" i="4"/>
  <c r="K86" i="4"/>
  <c r="J86" i="4"/>
  <c r="I86" i="4"/>
  <c r="H86" i="4"/>
  <c r="G86" i="4"/>
  <c r="F86" i="4"/>
  <c r="W85" i="4"/>
  <c r="V85" i="4"/>
  <c r="U85" i="4"/>
  <c r="T85" i="4"/>
  <c r="S85" i="4"/>
  <c r="R85" i="4"/>
  <c r="Q85" i="4"/>
  <c r="P85" i="4"/>
  <c r="O85" i="4"/>
  <c r="N85" i="4"/>
  <c r="M85" i="4"/>
  <c r="L85" i="4"/>
  <c r="K85" i="4"/>
  <c r="J85" i="4"/>
  <c r="I85" i="4"/>
  <c r="H85" i="4"/>
  <c r="G85" i="4"/>
  <c r="F85" i="4"/>
  <c r="W84" i="4"/>
  <c r="V84" i="4"/>
  <c r="U84" i="4"/>
  <c r="T84" i="4"/>
  <c r="S84" i="4"/>
  <c r="R84" i="4"/>
  <c r="Q84" i="4"/>
  <c r="P84" i="4"/>
  <c r="O84" i="4"/>
  <c r="N84" i="4"/>
  <c r="M84" i="4"/>
  <c r="L84" i="4"/>
  <c r="K84" i="4"/>
  <c r="J84" i="4"/>
  <c r="I84" i="4"/>
  <c r="H84" i="4"/>
  <c r="G84" i="4"/>
  <c r="F84" i="4"/>
  <c r="W83" i="4"/>
  <c r="V83" i="4"/>
  <c r="U83" i="4"/>
  <c r="T83" i="4"/>
  <c r="S83" i="4"/>
  <c r="R83" i="4"/>
  <c r="Q83" i="4"/>
  <c r="P83" i="4"/>
  <c r="O83" i="4"/>
  <c r="N83" i="4"/>
  <c r="M83" i="4"/>
  <c r="L83" i="4"/>
  <c r="K83" i="4"/>
  <c r="J83" i="4"/>
  <c r="I83" i="4"/>
  <c r="H83" i="4"/>
  <c r="G83" i="4"/>
  <c r="F83" i="4"/>
  <c r="W82" i="4"/>
  <c r="V82" i="4"/>
  <c r="U82" i="4"/>
  <c r="T82" i="4"/>
  <c r="S82" i="4"/>
  <c r="R82" i="4"/>
  <c r="Q82" i="4"/>
  <c r="P82" i="4"/>
  <c r="O82" i="4"/>
  <c r="N82" i="4"/>
  <c r="M82" i="4"/>
  <c r="L82" i="4"/>
  <c r="K82" i="4"/>
  <c r="J82" i="4"/>
  <c r="I82" i="4"/>
  <c r="H82" i="4"/>
  <c r="G82" i="4"/>
  <c r="F82" i="4"/>
  <c r="W81" i="4"/>
  <c r="V81" i="4"/>
  <c r="U81" i="4"/>
  <c r="T81" i="4"/>
  <c r="S81" i="4"/>
  <c r="R81" i="4"/>
  <c r="Q81" i="4"/>
  <c r="P81" i="4"/>
  <c r="O81" i="4"/>
  <c r="N81" i="4"/>
  <c r="M81" i="4"/>
  <c r="L81" i="4"/>
  <c r="K81" i="4"/>
  <c r="J81" i="4"/>
  <c r="I81" i="4"/>
  <c r="H81" i="4"/>
  <c r="G81" i="4"/>
  <c r="F81" i="4"/>
  <c r="W74" i="4"/>
  <c r="V74" i="4"/>
  <c r="U74" i="4"/>
  <c r="T74" i="4"/>
  <c r="S74" i="4"/>
  <c r="R74" i="4"/>
  <c r="Q74" i="4"/>
  <c r="P74" i="4"/>
  <c r="O74" i="4"/>
  <c r="N74" i="4"/>
  <c r="M74" i="4"/>
  <c r="L74" i="4"/>
  <c r="K74" i="4"/>
  <c r="J74" i="4"/>
  <c r="I74" i="4"/>
  <c r="H74" i="4"/>
  <c r="G74" i="4"/>
  <c r="F74" i="4"/>
  <c r="W73" i="4"/>
  <c r="V73" i="4"/>
  <c r="U73" i="4"/>
  <c r="T73" i="4"/>
  <c r="S73" i="4"/>
  <c r="R73" i="4"/>
  <c r="Q73" i="4"/>
  <c r="P73" i="4"/>
  <c r="O73" i="4"/>
  <c r="N73" i="4"/>
  <c r="M73" i="4"/>
  <c r="L73" i="4"/>
  <c r="K73" i="4"/>
  <c r="J73" i="4"/>
  <c r="I73" i="4"/>
  <c r="H73" i="4"/>
  <c r="G73" i="4"/>
  <c r="F73" i="4"/>
  <c r="W72" i="4"/>
  <c r="V72" i="4"/>
  <c r="U72" i="4"/>
  <c r="T72" i="4"/>
  <c r="S72" i="4"/>
  <c r="R72" i="4"/>
  <c r="Q72" i="4"/>
  <c r="P72" i="4"/>
  <c r="O72" i="4"/>
  <c r="N72" i="4"/>
  <c r="M72" i="4"/>
  <c r="L72" i="4"/>
  <c r="K72" i="4"/>
  <c r="J72" i="4"/>
  <c r="I72" i="4"/>
  <c r="H72" i="4"/>
  <c r="G72" i="4"/>
  <c r="F72" i="4"/>
  <c r="W71" i="4"/>
  <c r="V71" i="4"/>
  <c r="U71" i="4"/>
  <c r="T71" i="4"/>
  <c r="S71" i="4"/>
  <c r="R71" i="4"/>
  <c r="Q71" i="4"/>
  <c r="P71" i="4"/>
  <c r="O71" i="4"/>
  <c r="N71" i="4"/>
  <c r="M71" i="4"/>
  <c r="L71" i="4"/>
  <c r="K71" i="4"/>
  <c r="J71" i="4"/>
  <c r="I71" i="4"/>
  <c r="H71" i="4"/>
  <c r="G71" i="4"/>
  <c r="F71" i="4"/>
  <c r="W70" i="4"/>
  <c r="V70" i="4"/>
  <c r="U70" i="4"/>
  <c r="T70" i="4"/>
  <c r="S70" i="4"/>
  <c r="R70" i="4"/>
  <c r="Q70" i="4"/>
  <c r="P70" i="4"/>
  <c r="O70" i="4"/>
  <c r="N70" i="4"/>
  <c r="M70" i="4"/>
  <c r="L70" i="4"/>
  <c r="K70" i="4"/>
  <c r="J70" i="4"/>
  <c r="I70" i="4"/>
  <c r="H70" i="4"/>
  <c r="G70" i="4"/>
  <c r="F70" i="4"/>
  <c r="W69" i="4"/>
  <c r="V69" i="4"/>
  <c r="U69" i="4"/>
  <c r="T69" i="4"/>
  <c r="S69" i="4"/>
  <c r="R69" i="4"/>
  <c r="Q69" i="4"/>
  <c r="P69" i="4"/>
  <c r="O69" i="4"/>
  <c r="N69" i="4"/>
  <c r="M69" i="4"/>
  <c r="L69" i="4"/>
  <c r="K69" i="4"/>
  <c r="J69" i="4"/>
  <c r="I69" i="4"/>
  <c r="H69" i="4"/>
  <c r="G69" i="4"/>
  <c r="F69" i="4"/>
  <c r="W68" i="4"/>
  <c r="V68" i="4"/>
  <c r="U68" i="4"/>
  <c r="T68" i="4"/>
  <c r="S68" i="4"/>
  <c r="R68" i="4"/>
  <c r="Q68" i="4"/>
  <c r="P68" i="4"/>
  <c r="O68" i="4"/>
  <c r="N68" i="4"/>
  <c r="M68" i="4"/>
  <c r="L68" i="4"/>
  <c r="K68" i="4"/>
  <c r="J68" i="4"/>
  <c r="I68" i="4"/>
  <c r="H68" i="4"/>
  <c r="G68" i="4"/>
  <c r="F68" i="4"/>
  <c r="W67" i="4"/>
  <c r="V67" i="4"/>
  <c r="W66" i="4"/>
  <c r="V66" i="4"/>
  <c r="W65" i="4"/>
  <c r="V65" i="4"/>
  <c r="W64" i="4"/>
  <c r="V64" i="4"/>
  <c r="W63" i="4"/>
  <c r="V63" i="4"/>
  <c r="Q67" i="4"/>
  <c r="P67" i="4"/>
  <c r="Q66" i="4"/>
  <c r="P66" i="4"/>
  <c r="Q65" i="4"/>
  <c r="P65" i="4"/>
  <c r="Q64" i="4"/>
  <c r="P64" i="4"/>
  <c r="Q63" i="4"/>
  <c r="P63" i="4"/>
  <c r="K67" i="4"/>
  <c r="J67" i="4"/>
  <c r="K66" i="4"/>
  <c r="J66" i="4"/>
  <c r="K65" i="4"/>
  <c r="J65" i="4"/>
  <c r="K64" i="4"/>
  <c r="J64" i="4"/>
  <c r="K63" i="4"/>
  <c r="J63" i="4"/>
  <c r="U67" i="4"/>
  <c r="T67" i="4"/>
  <c r="S67" i="4"/>
  <c r="R67" i="4"/>
  <c r="O67" i="4"/>
  <c r="N67" i="4"/>
  <c r="M67" i="4"/>
  <c r="L67" i="4"/>
  <c r="I67" i="4"/>
  <c r="H67" i="4"/>
  <c r="G67" i="4"/>
  <c r="F67" i="4"/>
  <c r="U66" i="4"/>
  <c r="T66" i="4"/>
  <c r="S66" i="4"/>
  <c r="R66" i="4"/>
  <c r="L66" i="4"/>
  <c r="O66" i="4"/>
  <c r="N66" i="4"/>
  <c r="M66" i="4"/>
  <c r="F66" i="4"/>
  <c r="I66" i="4"/>
  <c r="H66" i="4"/>
  <c r="G66" i="4"/>
  <c r="U63" i="4"/>
  <c r="U64" i="4"/>
  <c r="U65" i="4"/>
  <c r="O65" i="4"/>
  <c r="O64" i="4"/>
  <c r="O63" i="4"/>
  <c r="R65" i="4"/>
  <c r="N65" i="4"/>
  <c r="M65" i="4"/>
  <c r="S64" i="4"/>
  <c r="R64" i="4"/>
  <c r="L64" i="4"/>
  <c r="M64" i="4"/>
  <c r="AE26" i="4"/>
  <c r="AD26" i="4"/>
  <c r="AC26" i="4"/>
  <c r="AB26" i="4"/>
  <c r="AA26" i="4"/>
  <c r="Z26" i="4"/>
  <c r="Y26" i="4"/>
  <c r="X26" i="4"/>
  <c r="W26" i="4"/>
  <c r="V26" i="4"/>
  <c r="U26" i="4"/>
  <c r="T26" i="4"/>
  <c r="S26" i="4"/>
  <c r="R26" i="4"/>
  <c r="Q26" i="4"/>
  <c r="P26" i="4"/>
  <c r="AE25" i="4"/>
  <c r="AD25" i="4"/>
  <c r="AC25" i="4"/>
  <c r="AB25" i="4"/>
  <c r="AA25" i="4"/>
  <c r="Z25" i="4"/>
  <c r="Y25" i="4"/>
  <c r="X25" i="4"/>
  <c r="W25" i="4"/>
  <c r="V25" i="4"/>
  <c r="U25" i="4"/>
  <c r="T25" i="4"/>
  <c r="S25" i="4"/>
  <c r="R25" i="4"/>
  <c r="Q25" i="4"/>
  <c r="P25" i="4"/>
  <c r="AE24" i="4"/>
  <c r="AD24" i="4"/>
  <c r="AC24" i="4"/>
  <c r="AB24" i="4"/>
  <c r="AA24" i="4"/>
  <c r="Z24" i="4"/>
  <c r="Y24" i="4"/>
  <c r="X24" i="4"/>
  <c r="W24" i="4"/>
  <c r="V24" i="4"/>
  <c r="U24" i="4"/>
  <c r="T24" i="4"/>
  <c r="S24" i="4"/>
  <c r="R24" i="4"/>
  <c r="T63" i="4" s="1"/>
  <c r="Q24" i="4"/>
  <c r="S65" i="4" s="1"/>
  <c r="P24" i="4"/>
  <c r="R63" i="4" s="1"/>
  <c r="AE23" i="4"/>
  <c r="AD23" i="4"/>
  <c r="AC23" i="4"/>
  <c r="AB23" i="4"/>
  <c r="AA23" i="4"/>
  <c r="Z23" i="4"/>
  <c r="Y23" i="4"/>
  <c r="X23" i="4"/>
  <c r="W23" i="4"/>
  <c r="V23" i="4"/>
  <c r="U23" i="4"/>
  <c r="T23" i="4"/>
  <c r="S23" i="4"/>
  <c r="R23" i="4"/>
  <c r="N63" i="4" s="1"/>
  <c r="Q23" i="4"/>
  <c r="P23" i="4"/>
  <c r="L65" i="4" s="1"/>
  <c r="AE22" i="4"/>
  <c r="AD22" i="4"/>
  <c r="AC22" i="4"/>
  <c r="AB22" i="4"/>
  <c r="AA22" i="4"/>
  <c r="Z22" i="4"/>
  <c r="Y22" i="4"/>
  <c r="X22" i="4"/>
  <c r="W22" i="4"/>
  <c r="V22" i="4"/>
  <c r="U22" i="4"/>
  <c r="T22" i="4"/>
  <c r="S22" i="4"/>
  <c r="I65" i="4" s="1"/>
  <c r="R22" i="4"/>
  <c r="H63" i="4" s="1"/>
  <c r="Q22" i="4"/>
  <c r="G63" i="4" s="1"/>
  <c r="P22" i="4"/>
  <c r="F63" i="4" s="1"/>
  <c r="S63" i="4"/>
  <c r="M63" i="4"/>
  <c r="L63" i="4"/>
  <c r="AN108" i="2"/>
  <c r="AM108" i="2"/>
  <c r="AL108" i="2"/>
  <c r="AK108" i="2"/>
  <c r="C104" i="8" l="1"/>
  <c r="C100" i="8"/>
  <c r="C96" i="8"/>
  <c r="C105" i="8"/>
  <c r="C101" i="8"/>
  <c r="C97" i="8"/>
  <c r="C106" i="8"/>
  <c r="C102" i="8"/>
  <c r="C98" i="8"/>
  <c r="C95" i="8"/>
  <c r="C99" i="8"/>
  <c r="C103" i="8"/>
  <c r="P103" i="8" s="1"/>
  <c r="H106" i="8"/>
  <c r="H102" i="8"/>
  <c r="H98" i="8"/>
  <c r="H103" i="8"/>
  <c r="H99" i="8"/>
  <c r="H95" i="8"/>
  <c r="H100" i="8"/>
  <c r="H104" i="8"/>
  <c r="H96" i="8"/>
  <c r="H101" i="8"/>
  <c r="H105" i="8"/>
  <c r="H97" i="8"/>
  <c r="H56" i="8"/>
  <c r="H52" i="8"/>
  <c r="H48" i="8"/>
  <c r="H53" i="8"/>
  <c r="H49" i="8"/>
  <c r="H45" i="8"/>
  <c r="H54" i="8"/>
  <c r="H50" i="8"/>
  <c r="H46" i="8"/>
  <c r="H55" i="8"/>
  <c r="H47" i="8"/>
  <c r="H51" i="8"/>
  <c r="V101" i="8"/>
  <c r="DA101" i="8" s="1"/>
  <c r="V97" i="8"/>
  <c r="DA97" i="8" s="1"/>
  <c r="Z99" i="8"/>
  <c r="I106" i="8"/>
  <c r="Q13" i="7"/>
  <c r="H29" i="15"/>
  <c r="I29" i="15" s="1"/>
  <c r="CB96" i="12"/>
  <c r="BU96" i="12"/>
  <c r="BT96" i="12"/>
  <c r="CD96" i="12"/>
  <c r="BS96" i="12"/>
  <c r="CC96" i="12"/>
  <c r="BR96" i="12"/>
  <c r="DN96" i="12" s="1"/>
  <c r="CA96" i="12"/>
  <c r="BQ96" i="12"/>
  <c r="BZ96" i="12"/>
  <c r="DQ96" i="12" s="1"/>
  <c r="BY96" i="12"/>
  <c r="BX96" i="12"/>
  <c r="BW96" i="12"/>
  <c r="DP96" i="12" s="1"/>
  <c r="BV96" i="12"/>
  <c r="DO96" i="12" s="1"/>
  <c r="BX90" i="12"/>
  <c r="CB90" i="12"/>
  <c r="BT90" i="12"/>
  <c r="BQ90" i="12"/>
  <c r="BY90" i="12"/>
  <c r="BV90" i="12"/>
  <c r="DO90" i="12" s="1"/>
  <c r="BR90" i="12"/>
  <c r="DN90" i="12" s="1"/>
  <c r="BU90" i="12"/>
  <c r="CD90" i="12"/>
  <c r="BZ90" i="12"/>
  <c r="DQ90" i="12" s="1"/>
  <c r="BS90" i="12"/>
  <c r="CC90" i="12"/>
  <c r="CA90" i="12"/>
  <c r="BW90" i="12"/>
  <c r="DP90" i="12" s="1"/>
  <c r="BU153" i="13"/>
  <c r="BR153" i="13"/>
  <c r="DN153" i="13" s="1"/>
  <c r="CC153" i="13"/>
  <c r="BZ153" i="13"/>
  <c r="DQ153" i="13" s="1"/>
  <c r="BV153" i="13"/>
  <c r="DO153" i="13" s="1"/>
  <c r="CD153" i="13"/>
  <c r="BS153" i="13"/>
  <c r="BW153" i="13"/>
  <c r="DP153" i="13" s="1"/>
  <c r="CA153" i="13"/>
  <c r="BX153" i="13"/>
  <c r="CB153" i="13"/>
  <c r="BY153" i="13"/>
  <c r="BT153" i="13"/>
  <c r="BQ153" i="13"/>
  <c r="BQ152" i="13"/>
  <c r="BU152" i="13"/>
  <c r="BY152" i="13"/>
  <c r="CC152" i="13"/>
  <c r="BR152" i="13"/>
  <c r="DN152" i="13" s="1"/>
  <c r="BV152" i="13"/>
  <c r="DO152" i="13" s="1"/>
  <c r="BZ152" i="13"/>
  <c r="DQ152" i="13" s="1"/>
  <c r="CD152" i="13"/>
  <c r="BS152" i="13"/>
  <c r="CA152" i="13"/>
  <c r="BX152" i="13"/>
  <c r="CB152" i="13"/>
  <c r="BW152" i="13"/>
  <c r="DP152" i="13" s="1"/>
  <c r="BT152" i="13"/>
  <c r="CA155" i="13"/>
  <c r="BY155" i="13"/>
  <c r="BS155" i="13"/>
  <c r="CC155" i="13"/>
  <c r="CD155" i="13"/>
  <c r="BU155" i="13"/>
  <c r="BV155" i="13"/>
  <c r="DO155" i="13" s="1"/>
  <c r="BT155" i="13"/>
  <c r="BW155" i="13"/>
  <c r="DP155" i="13" s="1"/>
  <c r="CB155" i="13"/>
  <c r="BX155" i="13"/>
  <c r="BQ155" i="13"/>
  <c r="BR155" i="13"/>
  <c r="DN155" i="13" s="1"/>
  <c r="BZ155" i="13"/>
  <c r="DQ155" i="13" s="1"/>
  <c r="BR158" i="13"/>
  <c r="DN158" i="13" s="1"/>
  <c r="CD158" i="13"/>
  <c r="BT158" i="13"/>
  <c r="BU158" i="13"/>
  <c r="BQ158" i="13"/>
  <c r="CC158" i="13"/>
  <c r="BZ158" i="13"/>
  <c r="DQ158" i="13" s="1"/>
  <c r="BV158" i="13"/>
  <c r="DO158" i="13" s="1"/>
  <c r="BW158" i="13"/>
  <c r="DP158" i="13" s="1"/>
  <c r="BS158" i="13"/>
  <c r="BY158" i="13"/>
  <c r="CA158" i="13"/>
  <c r="CB158" i="13"/>
  <c r="BX158" i="13"/>
  <c r="AE68" i="12"/>
  <c r="AL68" i="12"/>
  <c r="AI68" i="12"/>
  <c r="AF68" i="12"/>
  <c r="DC68" i="12" s="1"/>
  <c r="AA68" i="12"/>
  <c r="AG68" i="12"/>
  <c r="DD68" i="12" s="1"/>
  <c r="AK68" i="12"/>
  <c r="AC68" i="12"/>
  <c r="AD68" i="12"/>
  <c r="AN68" i="12"/>
  <c r="AJ68" i="12"/>
  <c r="DE68" i="12" s="1"/>
  <c r="AB68" i="12"/>
  <c r="DB68" i="12" s="1"/>
  <c r="AH68" i="12"/>
  <c r="AM68" i="12"/>
  <c r="AJ113" i="13"/>
  <c r="DE113" i="13" s="1"/>
  <c r="AN113" i="13"/>
  <c r="AC113" i="13"/>
  <c r="AA113" i="13"/>
  <c r="AK113" i="13"/>
  <c r="AI113" i="13"/>
  <c r="AD113" i="13"/>
  <c r="AG113" i="13"/>
  <c r="DD113" i="13" s="1"/>
  <c r="AL113" i="13"/>
  <c r="AH113" i="13"/>
  <c r="AE113" i="13"/>
  <c r="AB113" i="13"/>
  <c r="DB113" i="13" s="1"/>
  <c r="AF113" i="13"/>
  <c r="DC113" i="13" s="1"/>
  <c r="AM113" i="13"/>
  <c r="AM40" i="14"/>
  <c r="AF40" i="14"/>
  <c r="DC40" i="14" s="1"/>
  <c r="AN40" i="14"/>
  <c r="AG40" i="14"/>
  <c r="DD40" i="14" s="1"/>
  <c r="AA40" i="14"/>
  <c r="AE40" i="14"/>
  <c r="AI40" i="14"/>
  <c r="AD40" i="14"/>
  <c r="AJ40" i="14"/>
  <c r="DE40" i="14" s="1"/>
  <c r="AC40" i="14"/>
  <c r="AL40" i="14"/>
  <c r="AB40" i="14"/>
  <c r="DB40" i="14" s="1"/>
  <c r="AK40" i="14"/>
  <c r="AH40" i="14"/>
  <c r="AM38" i="14"/>
  <c r="AG38" i="14"/>
  <c r="DD38" i="14" s="1"/>
  <c r="AC38" i="14"/>
  <c r="AA38" i="14"/>
  <c r="AH38" i="14"/>
  <c r="AJ38" i="14"/>
  <c r="DE38" i="14" s="1"/>
  <c r="AE38" i="14"/>
  <c r="AL38" i="14"/>
  <c r="AN38" i="14"/>
  <c r="AK38" i="14"/>
  <c r="AI38" i="14"/>
  <c r="AF38" i="14"/>
  <c r="DC38" i="14" s="1"/>
  <c r="AB38" i="14"/>
  <c r="DB38" i="14" s="1"/>
  <c r="AD38" i="14"/>
  <c r="AF103" i="13"/>
  <c r="DC103" i="13" s="1"/>
  <c r="AN103" i="13"/>
  <c r="AK103" i="13"/>
  <c r="AG103" i="13"/>
  <c r="DD103" i="13" s="1"/>
  <c r="AE103" i="13"/>
  <c r="AH103" i="13"/>
  <c r="AM103" i="13"/>
  <c r="AA103" i="13"/>
  <c r="AI103" i="13"/>
  <c r="AL103" i="13"/>
  <c r="AJ103" i="13"/>
  <c r="DE103" i="13" s="1"/>
  <c r="AD103" i="13"/>
  <c r="AB103" i="13"/>
  <c r="DB103" i="13" s="1"/>
  <c r="AC103" i="13"/>
  <c r="AR71" i="12"/>
  <c r="AQ71" i="12"/>
  <c r="AU71" i="12"/>
  <c r="DH71" i="12" s="1"/>
  <c r="AY71" i="12"/>
  <c r="AW71" i="12"/>
  <c r="AO71" i="12"/>
  <c r="AX71" i="12"/>
  <c r="DI71" i="12" s="1"/>
  <c r="AV71" i="12"/>
  <c r="AP71" i="12"/>
  <c r="DF71" i="12" s="1"/>
  <c r="BB71" i="12"/>
  <c r="AT71" i="12"/>
  <c r="DG71" i="12" s="1"/>
  <c r="BA71" i="12"/>
  <c r="AS71" i="12"/>
  <c r="AZ71" i="12"/>
  <c r="AO110" i="13"/>
  <c r="AW110" i="13"/>
  <c r="AS110" i="13"/>
  <c r="AP110" i="13"/>
  <c r="DF110" i="13" s="1"/>
  <c r="BA110" i="13"/>
  <c r="AX110" i="13"/>
  <c r="DI110" i="13" s="1"/>
  <c r="AT110" i="13"/>
  <c r="DG110" i="13" s="1"/>
  <c r="AY110" i="13"/>
  <c r="BB110" i="13"/>
  <c r="AZ110" i="13"/>
  <c r="AV110" i="13"/>
  <c r="AQ110" i="13"/>
  <c r="AR110" i="13"/>
  <c r="AU110" i="13"/>
  <c r="DH110" i="13" s="1"/>
  <c r="AY112" i="13"/>
  <c r="AO112" i="13"/>
  <c r="AR112" i="13"/>
  <c r="BA112" i="13"/>
  <c r="AS112" i="13"/>
  <c r="BB112" i="13"/>
  <c r="AP112" i="13"/>
  <c r="DF112" i="13" s="1"/>
  <c r="AX112" i="13"/>
  <c r="DI112" i="13" s="1"/>
  <c r="AQ112" i="13"/>
  <c r="AV112" i="13"/>
  <c r="AU112" i="13"/>
  <c r="DH112" i="13" s="1"/>
  <c r="AZ112" i="13"/>
  <c r="AT112" i="13"/>
  <c r="DG112" i="13" s="1"/>
  <c r="AW112" i="13"/>
  <c r="AX41" i="14"/>
  <c r="DI41" i="14" s="1"/>
  <c r="BB41" i="14"/>
  <c r="BA41" i="14"/>
  <c r="AU41" i="14"/>
  <c r="DH41" i="14" s="1"/>
  <c r="AP41" i="14"/>
  <c r="DF41" i="14" s="1"/>
  <c r="AR41" i="14"/>
  <c r="AQ41" i="14"/>
  <c r="AZ41" i="14"/>
  <c r="AY41" i="14"/>
  <c r="AV41" i="14"/>
  <c r="AO41" i="14"/>
  <c r="AW41" i="14"/>
  <c r="AS41" i="14"/>
  <c r="AT41" i="14"/>
  <c r="DG41" i="14" s="1"/>
  <c r="BA95" i="12"/>
  <c r="AS95" i="12"/>
  <c r="AZ95" i="12"/>
  <c r="AR95" i="12"/>
  <c r="AY95" i="12"/>
  <c r="AQ95" i="12"/>
  <c r="AX95" i="12"/>
  <c r="DI95" i="12" s="1"/>
  <c r="AP95" i="12"/>
  <c r="DF95" i="12" s="1"/>
  <c r="AW95" i="12"/>
  <c r="AO95" i="12"/>
  <c r="AV95" i="12"/>
  <c r="AU95" i="12"/>
  <c r="DH95" i="12" s="1"/>
  <c r="BB95" i="12"/>
  <c r="AT95" i="12"/>
  <c r="DG95" i="12" s="1"/>
  <c r="BB88" i="12"/>
  <c r="AU88" i="12"/>
  <c r="DH88" i="12" s="1"/>
  <c r="AV88" i="12"/>
  <c r="AR88" i="12"/>
  <c r="AZ88" i="12"/>
  <c r="AS88" i="12"/>
  <c r="BA88" i="12"/>
  <c r="AT88" i="12"/>
  <c r="DG88" i="12" s="1"/>
  <c r="AO88" i="12"/>
  <c r="AP88" i="12"/>
  <c r="DF88" i="12" s="1"/>
  <c r="AW88" i="12"/>
  <c r="AX88" i="12"/>
  <c r="DI88" i="12" s="1"/>
  <c r="AQ88" i="12"/>
  <c r="AY88" i="12"/>
  <c r="AT152" i="13"/>
  <c r="DG152" i="13" s="1"/>
  <c r="AO152" i="13"/>
  <c r="BB152" i="13"/>
  <c r="AQ152" i="13"/>
  <c r="AU152" i="13"/>
  <c r="DH152" i="13" s="1"/>
  <c r="AY152" i="13"/>
  <c r="AV152" i="13"/>
  <c r="AR152" i="13"/>
  <c r="AW152" i="13"/>
  <c r="AZ152" i="13"/>
  <c r="AP152" i="13"/>
  <c r="DF152" i="13" s="1"/>
  <c r="AS152" i="13"/>
  <c r="BA152" i="13"/>
  <c r="AX152" i="13"/>
  <c r="DI152" i="13" s="1"/>
  <c r="AO84" i="14"/>
  <c r="AS84" i="14"/>
  <c r="AY84" i="14"/>
  <c r="AZ84" i="14"/>
  <c r="AV84" i="14"/>
  <c r="AR84" i="14"/>
  <c r="AU84" i="14"/>
  <c r="DH84" i="14" s="1"/>
  <c r="AX84" i="14"/>
  <c r="DI84" i="14" s="1"/>
  <c r="AQ84" i="14"/>
  <c r="AP84" i="14"/>
  <c r="DF84" i="14" s="1"/>
  <c r="BB84" i="14"/>
  <c r="AW84" i="14"/>
  <c r="BA84" i="14"/>
  <c r="AT84" i="14"/>
  <c r="DG84" i="14" s="1"/>
  <c r="AW150" i="13"/>
  <c r="AU150" i="13"/>
  <c r="DH150" i="13" s="1"/>
  <c r="AP150" i="13"/>
  <c r="DF150" i="13" s="1"/>
  <c r="AV150" i="13"/>
  <c r="AX150" i="13"/>
  <c r="DI150" i="13" s="1"/>
  <c r="AY150" i="13"/>
  <c r="AR150" i="13"/>
  <c r="BA150" i="13"/>
  <c r="AZ150" i="13"/>
  <c r="BB150" i="13"/>
  <c r="AQ150" i="13"/>
  <c r="AO150" i="13"/>
  <c r="AS150" i="13"/>
  <c r="AT150" i="13"/>
  <c r="DG150" i="13" s="1"/>
  <c r="Q62" i="12"/>
  <c r="W62" i="12"/>
  <c r="X62" i="12"/>
  <c r="N62" i="12"/>
  <c r="Z62" i="12"/>
  <c r="P62" i="12"/>
  <c r="R62" i="12"/>
  <c r="O62" i="12"/>
  <c r="U62" i="12"/>
  <c r="M62" i="12"/>
  <c r="Y62" i="12"/>
  <c r="T62" i="12"/>
  <c r="V62" i="12"/>
  <c r="S62" i="12"/>
  <c r="V63" i="12"/>
  <c r="Y63" i="12"/>
  <c r="R63" i="12"/>
  <c r="U63" i="12"/>
  <c r="O63" i="12"/>
  <c r="P63" i="12"/>
  <c r="Q63" i="12"/>
  <c r="N63" i="12"/>
  <c r="X63" i="12"/>
  <c r="M63" i="12"/>
  <c r="W63" i="12"/>
  <c r="S63" i="12"/>
  <c r="Z63" i="12"/>
  <c r="T63" i="12"/>
  <c r="X105" i="13"/>
  <c r="N105" i="13"/>
  <c r="Q105" i="13"/>
  <c r="Y105" i="13"/>
  <c r="M105" i="13"/>
  <c r="R105" i="13"/>
  <c r="U105" i="13"/>
  <c r="Z105" i="13"/>
  <c r="W105" i="13"/>
  <c r="T105" i="13"/>
  <c r="O105" i="13"/>
  <c r="P105" i="13"/>
  <c r="S105" i="13"/>
  <c r="V105" i="13"/>
  <c r="S42" i="14"/>
  <c r="Z42" i="14"/>
  <c r="O42" i="14"/>
  <c r="X42" i="14"/>
  <c r="N42" i="14"/>
  <c r="Q42" i="14"/>
  <c r="M42" i="14"/>
  <c r="R42" i="14"/>
  <c r="P42" i="14"/>
  <c r="Y42" i="14"/>
  <c r="T42" i="14"/>
  <c r="U42" i="14"/>
  <c r="V42" i="14"/>
  <c r="W42" i="14"/>
  <c r="N107" i="13"/>
  <c r="R107" i="13"/>
  <c r="V107" i="13"/>
  <c r="Z107" i="13"/>
  <c r="O107" i="13"/>
  <c r="S107" i="13"/>
  <c r="W107" i="13"/>
  <c r="T107" i="13"/>
  <c r="X107" i="13"/>
  <c r="M107" i="13"/>
  <c r="Q107" i="13"/>
  <c r="P107" i="13"/>
  <c r="Y107" i="13"/>
  <c r="U107" i="13"/>
  <c r="Z106" i="13"/>
  <c r="W106" i="13"/>
  <c r="S106" i="13"/>
  <c r="Q106" i="13"/>
  <c r="T106" i="13"/>
  <c r="Y106" i="13"/>
  <c r="M106" i="13"/>
  <c r="U106" i="13"/>
  <c r="X106" i="13"/>
  <c r="V106" i="13"/>
  <c r="P106" i="13"/>
  <c r="R106" i="13"/>
  <c r="N106" i="13"/>
  <c r="O106" i="13"/>
  <c r="BP93" i="12"/>
  <c r="BO93" i="12"/>
  <c r="BF93" i="12"/>
  <c r="BN93" i="12"/>
  <c r="BI93" i="12"/>
  <c r="DL93" i="12" s="1"/>
  <c r="BC93" i="12"/>
  <c r="BD93" i="12"/>
  <c r="DJ93" i="12" s="1"/>
  <c r="BE93" i="12"/>
  <c r="BJ93" i="12"/>
  <c r="BK93" i="12"/>
  <c r="BL93" i="12"/>
  <c r="DM93" i="12" s="1"/>
  <c r="BM93" i="12"/>
  <c r="BH93" i="12"/>
  <c r="DK93" i="12" s="1"/>
  <c r="BG93" i="12"/>
  <c r="BM147" i="13"/>
  <c r="BI147" i="13"/>
  <c r="DL147" i="13" s="1"/>
  <c r="BF147" i="13"/>
  <c r="BN147" i="13"/>
  <c r="BC147" i="13"/>
  <c r="BG147" i="13"/>
  <c r="BK147" i="13"/>
  <c r="BO147" i="13"/>
  <c r="BL147" i="13"/>
  <c r="DM147" i="13" s="1"/>
  <c r="BP147" i="13"/>
  <c r="BH147" i="13"/>
  <c r="DK147" i="13" s="1"/>
  <c r="BJ147" i="13"/>
  <c r="BD147" i="13"/>
  <c r="DJ147" i="13" s="1"/>
  <c r="BE147" i="13"/>
  <c r="BK146" i="13"/>
  <c r="BO146" i="13"/>
  <c r="BC146" i="13"/>
  <c r="BI146" i="13"/>
  <c r="DL146" i="13" s="1"/>
  <c r="BL146" i="13"/>
  <c r="DM146" i="13" s="1"/>
  <c r="BG146" i="13"/>
  <c r="BD146" i="13"/>
  <c r="DJ146" i="13" s="1"/>
  <c r="BM146" i="13"/>
  <c r="BP146" i="13"/>
  <c r="BN146" i="13"/>
  <c r="BH146" i="13"/>
  <c r="DK146" i="13" s="1"/>
  <c r="BJ146" i="13"/>
  <c r="BE146" i="13"/>
  <c r="BF146" i="13"/>
  <c r="BE64" i="12"/>
  <c r="BL64" i="12"/>
  <c r="DM64" i="12" s="1"/>
  <c r="BM64" i="12"/>
  <c r="BP64" i="12"/>
  <c r="BO64" i="12"/>
  <c r="BN64" i="12"/>
  <c r="BD64" i="12"/>
  <c r="DJ64" i="12" s="1"/>
  <c r="BK64" i="12"/>
  <c r="BH64" i="12"/>
  <c r="DK64" i="12" s="1"/>
  <c r="BG64" i="12"/>
  <c r="BF64" i="12"/>
  <c r="BC64" i="12"/>
  <c r="BI64" i="12"/>
  <c r="DL64" i="12" s="1"/>
  <c r="BJ64" i="12"/>
  <c r="BZ93" i="12"/>
  <c r="DQ93" i="12" s="1"/>
  <c r="CA93" i="12"/>
  <c r="BS93" i="12"/>
  <c r="BQ93" i="12"/>
  <c r="BU93" i="12"/>
  <c r="BV93" i="12"/>
  <c r="DO93" i="12" s="1"/>
  <c r="BY93" i="12"/>
  <c r="CC93" i="12"/>
  <c r="CD93" i="12"/>
  <c r="BW93" i="12"/>
  <c r="DP93" i="12" s="1"/>
  <c r="BT93" i="12"/>
  <c r="CB93" i="12"/>
  <c r="BR93" i="12"/>
  <c r="DN93" i="12" s="1"/>
  <c r="BX93" i="12"/>
  <c r="BW157" i="13"/>
  <c r="DP157" i="13" s="1"/>
  <c r="BS157" i="13"/>
  <c r="BX157" i="13"/>
  <c r="CA157" i="13"/>
  <c r="CB157" i="13"/>
  <c r="BQ157" i="13"/>
  <c r="CC157" i="13"/>
  <c r="BT157" i="13"/>
  <c r="BV157" i="13"/>
  <c r="DO157" i="13" s="1"/>
  <c r="BR157" i="13"/>
  <c r="DN157" i="13" s="1"/>
  <c r="BY157" i="13"/>
  <c r="BU157" i="13"/>
  <c r="BZ157" i="13"/>
  <c r="DQ157" i="13" s="1"/>
  <c r="CD157" i="13"/>
  <c r="CC81" i="14"/>
  <c r="BZ81" i="14"/>
  <c r="DQ81" i="14" s="1"/>
  <c r="BU81" i="14"/>
  <c r="BR81" i="14"/>
  <c r="DN81" i="14" s="1"/>
  <c r="BY81" i="14"/>
  <c r="BX81" i="14"/>
  <c r="BQ81" i="14"/>
  <c r="CB81" i="14"/>
  <c r="BW81" i="14"/>
  <c r="DP81" i="14" s="1"/>
  <c r="BT81" i="14"/>
  <c r="BV81" i="14"/>
  <c r="DO81" i="14" s="1"/>
  <c r="BS81" i="14"/>
  <c r="CD81" i="14"/>
  <c r="CA81" i="14"/>
  <c r="BZ80" i="14"/>
  <c r="DQ80" i="14" s="1"/>
  <c r="CC80" i="14"/>
  <c r="BR80" i="14"/>
  <c r="DN80" i="14" s="1"/>
  <c r="BU80" i="14"/>
  <c r="BY80" i="14"/>
  <c r="BW80" i="14"/>
  <c r="DP80" i="14" s="1"/>
  <c r="BQ80" i="14"/>
  <c r="CB80" i="14"/>
  <c r="BX80" i="14"/>
  <c r="BT80" i="14"/>
  <c r="CD80" i="14"/>
  <c r="BS80" i="14"/>
  <c r="CA80" i="14"/>
  <c r="BV80" i="14"/>
  <c r="DO80" i="14" s="1"/>
  <c r="CA60" i="15"/>
  <c r="BS60" i="15"/>
  <c r="BZ60" i="15"/>
  <c r="DQ60" i="15" s="1"/>
  <c r="BR60" i="15"/>
  <c r="DN60" i="15" s="1"/>
  <c r="BY60" i="15"/>
  <c r="BQ60" i="15"/>
  <c r="CC60" i="15"/>
  <c r="BX60" i="15"/>
  <c r="BW60" i="15"/>
  <c r="DP60" i="15" s="1"/>
  <c r="CD60" i="15"/>
  <c r="BV60" i="15"/>
  <c r="DO60" i="15" s="1"/>
  <c r="BU60" i="15"/>
  <c r="CB60" i="15"/>
  <c r="BT60" i="15"/>
  <c r="AA71" i="12"/>
  <c r="AG71" i="12"/>
  <c r="DD71" i="12" s="1"/>
  <c r="AF71" i="12"/>
  <c r="DC71" i="12" s="1"/>
  <c r="AN71" i="12"/>
  <c r="AH71" i="12"/>
  <c r="AE71" i="12"/>
  <c r="AI71" i="12"/>
  <c r="AL71" i="12"/>
  <c r="AD71" i="12"/>
  <c r="AK71" i="12"/>
  <c r="AJ71" i="12"/>
  <c r="DE71" i="12" s="1"/>
  <c r="AC71" i="12"/>
  <c r="AB71" i="12"/>
  <c r="DB71" i="12" s="1"/>
  <c r="AM71" i="12"/>
  <c r="AC105" i="13"/>
  <c r="AA105" i="13"/>
  <c r="AK105" i="13"/>
  <c r="AI105" i="13"/>
  <c r="AB105" i="13"/>
  <c r="DB105" i="13" s="1"/>
  <c r="AM105" i="13"/>
  <c r="AE105" i="13"/>
  <c r="AJ105" i="13"/>
  <c r="DE105" i="13" s="1"/>
  <c r="AN105" i="13"/>
  <c r="AL105" i="13"/>
  <c r="AG105" i="13"/>
  <c r="DD105" i="13" s="1"/>
  <c r="AF105" i="13"/>
  <c r="DC105" i="13" s="1"/>
  <c r="AH105" i="13"/>
  <c r="AD105" i="13"/>
  <c r="AE39" i="14"/>
  <c r="AM39" i="14"/>
  <c r="AB39" i="14"/>
  <c r="DB39" i="14" s="1"/>
  <c r="AA39" i="14"/>
  <c r="AJ39" i="14"/>
  <c r="DE39" i="14" s="1"/>
  <c r="AI39" i="14"/>
  <c r="AF39" i="14"/>
  <c r="DC39" i="14" s="1"/>
  <c r="AL39" i="14"/>
  <c r="AC39" i="14"/>
  <c r="AN39" i="14"/>
  <c r="AK39" i="14"/>
  <c r="AD39" i="14"/>
  <c r="AH39" i="14"/>
  <c r="AG39" i="14"/>
  <c r="DD39" i="14" s="1"/>
  <c r="AA42" i="14"/>
  <c r="AI42" i="14"/>
  <c r="AG42" i="14"/>
  <c r="DD42" i="14" s="1"/>
  <c r="AE42" i="14"/>
  <c r="AK42" i="14"/>
  <c r="AL42" i="14"/>
  <c r="AH42" i="14"/>
  <c r="AC42" i="14"/>
  <c r="AM42" i="14"/>
  <c r="AN42" i="14"/>
  <c r="AJ42" i="14"/>
  <c r="DE42" i="14" s="1"/>
  <c r="AB42" i="14"/>
  <c r="DB42" i="14" s="1"/>
  <c r="AD42" i="14"/>
  <c r="AF42" i="14"/>
  <c r="DC42" i="14" s="1"/>
  <c r="AB111" i="13"/>
  <c r="DB111" i="13" s="1"/>
  <c r="AE111" i="13"/>
  <c r="AJ111" i="13"/>
  <c r="DE111" i="13" s="1"/>
  <c r="AF111" i="13"/>
  <c r="DC111" i="13" s="1"/>
  <c r="AC111" i="13"/>
  <c r="AK111" i="13"/>
  <c r="AH111" i="13"/>
  <c r="AN111" i="13"/>
  <c r="AA111" i="13"/>
  <c r="AD111" i="13"/>
  <c r="AG111" i="13"/>
  <c r="DD111" i="13" s="1"/>
  <c r="AI111" i="13"/>
  <c r="AM111" i="13"/>
  <c r="AL111" i="13"/>
  <c r="AP66" i="12"/>
  <c r="DF66" i="12" s="1"/>
  <c r="AX66" i="12"/>
  <c r="DI66" i="12" s="1"/>
  <c r="AQ66" i="12"/>
  <c r="AV66" i="12"/>
  <c r="AZ66" i="12"/>
  <c r="AR66" i="12"/>
  <c r="AO66" i="12"/>
  <c r="BA66" i="12"/>
  <c r="AS66" i="12"/>
  <c r="AY66" i="12"/>
  <c r="AT66" i="12"/>
  <c r="DG66" i="12" s="1"/>
  <c r="AW66" i="12"/>
  <c r="AU66" i="12"/>
  <c r="DH66" i="12" s="1"/>
  <c r="BB66" i="12"/>
  <c r="AV103" i="13"/>
  <c r="AZ103" i="13"/>
  <c r="AO103" i="13"/>
  <c r="AS103" i="13"/>
  <c r="AW103" i="13"/>
  <c r="BA103" i="13"/>
  <c r="AP103" i="13"/>
  <c r="DF103" i="13" s="1"/>
  <c r="AU103" i="13"/>
  <c r="DH103" i="13" s="1"/>
  <c r="AX103" i="13"/>
  <c r="DI103" i="13" s="1"/>
  <c r="AQ103" i="13"/>
  <c r="BB103" i="13"/>
  <c r="AR103" i="13"/>
  <c r="AT103" i="13"/>
  <c r="DG103" i="13" s="1"/>
  <c r="AY103" i="13"/>
  <c r="AX114" i="13"/>
  <c r="DI114" i="13" s="1"/>
  <c r="BA114" i="13"/>
  <c r="AQ114" i="13"/>
  <c r="BB114" i="13"/>
  <c r="AY114" i="13"/>
  <c r="AR114" i="13"/>
  <c r="AO114" i="13"/>
  <c r="AU114" i="13"/>
  <c r="DH114" i="13" s="1"/>
  <c r="AW114" i="13"/>
  <c r="AS114" i="13"/>
  <c r="AZ114" i="13"/>
  <c r="AV114" i="13"/>
  <c r="AT114" i="13"/>
  <c r="DG114" i="13" s="1"/>
  <c r="AP114" i="13"/>
  <c r="DF114" i="13" s="1"/>
  <c r="AP105" i="13"/>
  <c r="DF105" i="13" s="1"/>
  <c r="AX105" i="13"/>
  <c r="DI105" i="13" s="1"/>
  <c r="AS105" i="13"/>
  <c r="AQ105" i="13"/>
  <c r="BA105" i="13"/>
  <c r="AY105" i="13"/>
  <c r="AV105" i="13"/>
  <c r="AZ105" i="13"/>
  <c r="AO105" i="13"/>
  <c r="AT105" i="13"/>
  <c r="DG105" i="13" s="1"/>
  <c r="AU105" i="13"/>
  <c r="DH105" i="13" s="1"/>
  <c r="AW105" i="13"/>
  <c r="AR105" i="13"/>
  <c r="BB105" i="13"/>
  <c r="BB38" i="14"/>
  <c r="AU38" i="14"/>
  <c r="DH38" i="14" s="1"/>
  <c r="AT38" i="14"/>
  <c r="DG38" i="14" s="1"/>
  <c r="AQ38" i="14"/>
  <c r="AR38" i="14"/>
  <c r="AV38" i="14"/>
  <c r="AP38" i="14"/>
  <c r="DF38" i="14" s="1"/>
  <c r="AY38" i="14"/>
  <c r="AZ38" i="14"/>
  <c r="BA38" i="14"/>
  <c r="AX38" i="14"/>
  <c r="DI38" i="14" s="1"/>
  <c r="AO38" i="14"/>
  <c r="AS38" i="14"/>
  <c r="AW38" i="14"/>
  <c r="AY91" i="12"/>
  <c r="AQ91" i="12"/>
  <c r="AX91" i="12"/>
  <c r="DI91" i="12" s="1"/>
  <c r="AR91" i="12"/>
  <c r="AS91" i="12"/>
  <c r="AT91" i="12"/>
  <c r="DG91" i="12" s="1"/>
  <c r="AZ91" i="12"/>
  <c r="BA91" i="12"/>
  <c r="BB91" i="12"/>
  <c r="AP91" i="12"/>
  <c r="DF91" i="12" s="1"/>
  <c r="AU91" i="12"/>
  <c r="DH91" i="12" s="1"/>
  <c r="AV91" i="12"/>
  <c r="AO91" i="12"/>
  <c r="AW91" i="12"/>
  <c r="AU90" i="12"/>
  <c r="DH90" i="12" s="1"/>
  <c r="AZ90" i="12"/>
  <c r="BB90" i="12"/>
  <c r="AP90" i="12"/>
  <c r="DF90" i="12" s="1"/>
  <c r="AR90" i="12"/>
  <c r="AX90" i="12"/>
  <c r="DI90" i="12" s="1"/>
  <c r="BA90" i="12"/>
  <c r="AO90" i="12"/>
  <c r="AV90" i="12"/>
  <c r="AW90" i="12"/>
  <c r="AS90" i="12"/>
  <c r="AQ90" i="12"/>
  <c r="AY90" i="12"/>
  <c r="AT90" i="12"/>
  <c r="DG90" i="12" s="1"/>
  <c r="AU156" i="13"/>
  <c r="DH156" i="13" s="1"/>
  <c r="AQ156" i="13"/>
  <c r="AV156" i="13"/>
  <c r="AY156" i="13"/>
  <c r="AO156" i="13"/>
  <c r="AW156" i="13"/>
  <c r="BA156" i="13"/>
  <c r="AP156" i="13"/>
  <c r="DF156" i="13" s="1"/>
  <c r="AT156" i="13"/>
  <c r="DG156" i="13" s="1"/>
  <c r="AX156" i="13"/>
  <c r="DI156" i="13" s="1"/>
  <c r="AS156" i="13"/>
  <c r="BB156" i="13"/>
  <c r="AZ156" i="13"/>
  <c r="AR156" i="13"/>
  <c r="BB154" i="13"/>
  <c r="AQ154" i="13"/>
  <c r="AU154" i="13"/>
  <c r="DH154" i="13" s="1"/>
  <c r="AY154" i="13"/>
  <c r="AV154" i="13"/>
  <c r="AR154" i="13"/>
  <c r="AO154" i="13"/>
  <c r="AZ154" i="13"/>
  <c r="AW154" i="13"/>
  <c r="BA154" i="13"/>
  <c r="AX154" i="13"/>
  <c r="DI154" i="13" s="1"/>
  <c r="AS154" i="13"/>
  <c r="AT154" i="13"/>
  <c r="DG154" i="13" s="1"/>
  <c r="AP154" i="13"/>
  <c r="DF154" i="13" s="1"/>
  <c r="BA149" i="13"/>
  <c r="AZ149" i="13"/>
  <c r="AT149" i="13"/>
  <c r="DG149" i="13" s="1"/>
  <c r="AP149" i="13"/>
  <c r="DF149" i="13" s="1"/>
  <c r="BB149" i="13"/>
  <c r="AQ149" i="13"/>
  <c r="AU149" i="13"/>
  <c r="DH149" i="13" s="1"/>
  <c r="AX149" i="13"/>
  <c r="DI149" i="13" s="1"/>
  <c r="AV149" i="13"/>
  <c r="AY149" i="13"/>
  <c r="AW149" i="13"/>
  <c r="AS149" i="13"/>
  <c r="AO149" i="13"/>
  <c r="AR149" i="13"/>
  <c r="Q70" i="12"/>
  <c r="Y70" i="12"/>
  <c r="M70" i="12"/>
  <c r="X70" i="12"/>
  <c r="U70" i="12"/>
  <c r="P70" i="12"/>
  <c r="O70" i="12"/>
  <c r="Z70" i="12"/>
  <c r="R70" i="12"/>
  <c r="W70" i="12"/>
  <c r="T70" i="12"/>
  <c r="V70" i="12"/>
  <c r="S70" i="12"/>
  <c r="N70" i="12"/>
  <c r="R109" i="13"/>
  <c r="P109" i="13"/>
  <c r="S109" i="13"/>
  <c r="W109" i="13"/>
  <c r="T109" i="13"/>
  <c r="M109" i="13"/>
  <c r="U109" i="13"/>
  <c r="Q109" i="13"/>
  <c r="V109" i="13"/>
  <c r="Y109" i="13"/>
  <c r="X109" i="13"/>
  <c r="N109" i="13"/>
  <c r="O109" i="13"/>
  <c r="Z109" i="13"/>
  <c r="W39" i="14"/>
  <c r="S39" i="14"/>
  <c r="O39" i="14"/>
  <c r="V39" i="14"/>
  <c r="Y39" i="14"/>
  <c r="T39" i="14"/>
  <c r="Z39" i="14"/>
  <c r="M39" i="14"/>
  <c r="X39" i="14"/>
  <c r="U39" i="14"/>
  <c r="R39" i="14"/>
  <c r="P39" i="14"/>
  <c r="N39" i="14"/>
  <c r="Q39" i="14"/>
  <c r="M111" i="13"/>
  <c r="U111" i="13"/>
  <c r="Q111" i="13"/>
  <c r="N111" i="13"/>
  <c r="Y111" i="13"/>
  <c r="P111" i="13"/>
  <c r="Z111" i="13"/>
  <c r="W111" i="13"/>
  <c r="S111" i="13"/>
  <c r="X111" i="13"/>
  <c r="V111" i="13"/>
  <c r="R111" i="13"/>
  <c r="O111" i="13"/>
  <c r="T111" i="13"/>
  <c r="Z40" i="14"/>
  <c r="S40" i="14"/>
  <c r="R40" i="14"/>
  <c r="P40" i="14"/>
  <c r="M40" i="14"/>
  <c r="Q40" i="14"/>
  <c r="U40" i="14"/>
  <c r="N40" i="14"/>
  <c r="V40" i="14"/>
  <c r="O40" i="14"/>
  <c r="W40" i="14"/>
  <c r="T40" i="14"/>
  <c r="Y40" i="14"/>
  <c r="X40" i="14"/>
  <c r="Y13" i="7"/>
  <c r="C90" i="12"/>
  <c r="C93" i="12"/>
  <c r="C88" i="12"/>
  <c r="C98" i="12"/>
  <c r="C97" i="12"/>
  <c r="C94" i="12"/>
  <c r="C89" i="12"/>
  <c r="C92" i="12"/>
  <c r="C99" i="12"/>
  <c r="C95" i="12"/>
  <c r="C96" i="12"/>
  <c r="C91" i="12"/>
  <c r="C100" i="12"/>
  <c r="BK97" i="12"/>
  <c r="BJ97" i="12"/>
  <c r="BI97" i="12"/>
  <c r="DL97" i="12" s="1"/>
  <c r="BD97" i="12"/>
  <c r="DJ97" i="12" s="1"/>
  <c r="BE97" i="12"/>
  <c r="BF97" i="12"/>
  <c r="BG97" i="12"/>
  <c r="BH97" i="12"/>
  <c r="DK97" i="12" s="1"/>
  <c r="BL97" i="12"/>
  <c r="DM97" i="12" s="1"/>
  <c r="BM97" i="12"/>
  <c r="BN97" i="12"/>
  <c r="BO97" i="12"/>
  <c r="BP97" i="12"/>
  <c r="BC97" i="12"/>
  <c r="BE151" i="13"/>
  <c r="BK151" i="13"/>
  <c r="BN151" i="13"/>
  <c r="BC151" i="13"/>
  <c r="BF151" i="13"/>
  <c r="BL151" i="13"/>
  <c r="DM151" i="13" s="1"/>
  <c r="BO151" i="13"/>
  <c r="BD151" i="13"/>
  <c r="DJ151" i="13" s="1"/>
  <c r="BG151" i="13"/>
  <c r="BM151" i="13"/>
  <c r="BP151" i="13"/>
  <c r="BI151" i="13"/>
  <c r="DL151" i="13" s="1"/>
  <c r="BH151" i="13"/>
  <c r="DK151" i="13" s="1"/>
  <c r="BJ151" i="13"/>
  <c r="BE150" i="13"/>
  <c r="BG150" i="13"/>
  <c r="BM150" i="13"/>
  <c r="BH150" i="13"/>
  <c r="DK150" i="13" s="1"/>
  <c r="BF150" i="13"/>
  <c r="BI150" i="13"/>
  <c r="DL150" i="13" s="1"/>
  <c r="BN150" i="13"/>
  <c r="BJ150" i="13"/>
  <c r="BO150" i="13"/>
  <c r="BL150" i="13"/>
  <c r="DM150" i="13" s="1"/>
  <c r="BD150" i="13"/>
  <c r="DJ150" i="13" s="1"/>
  <c r="BC150" i="13"/>
  <c r="BP150" i="13"/>
  <c r="BK150" i="13"/>
  <c r="BI72" i="12"/>
  <c r="DL72" i="12" s="1"/>
  <c r="BF72" i="12"/>
  <c r="BG72" i="12"/>
  <c r="BP72" i="12"/>
  <c r="BH72" i="12"/>
  <c r="DK72" i="12" s="1"/>
  <c r="BD72" i="12"/>
  <c r="DJ72" i="12" s="1"/>
  <c r="BM72" i="12"/>
  <c r="BN72" i="12"/>
  <c r="BE72" i="12"/>
  <c r="BK72" i="12"/>
  <c r="BO72" i="12"/>
  <c r="BJ72" i="12"/>
  <c r="BL72" i="12"/>
  <c r="DM72" i="12" s="1"/>
  <c r="BC72" i="12"/>
  <c r="BH104" i="13"/>
  <c r="DK104" i="13" s="1"/>
  <c r="BE104" i="13"/>
  <c r="BP104" i="13"/>
  <c r="BM104" i="13"/>
  <c r="BI104" i="13"/>
  <c r="DL104" i="13" s="1"/>
  <c r="BJ104" i="13"/>
  <c r="BG104" i="13"/>
  <c r="BO104" i="13"/>
  <c r="BK104" i="13"/>
  <c r="BF104" i="13"/>
  <c r="BD104" i="13"/>
  <c r="DJ104" i="13" s="1"/>
  <c r="BC104" i="13"/>
  <c r="BL104" i="13"/>
  <c r="DM104" i="13" s="1"/>
  <c r="BN104" i="13"/>
  <c r="CD88" i="12"/>
  <c r="BT88" i="12"/>
  <c r="CB88" i="12"/>
  <c r="BS88" i="12"/>
  <c r="CC88" i="12"/>
  <c r="CA88" i="12"/>
  <c r="BR88" i="12"/>
  <c r="DN88" i="12" s="1"/>
  <c r="BZ88" i="12"/>
  <c r="DQ88" i="12" s="1"/>
  <c r="BQ88" i="12"/>
  <c r="BY88" i="12"/>
  <c r="BX88" i="12"/>
  <c r="BW88" i="12"/>
  <c r="DP88" i="12" s="1"/>
  <c r="BV88" i="12"/>
  <c r="DO88" i="12" s="1"/>
  <c r="BU88" i="12"/>
  <c r="BS154" i="13"/>
  <c r="CD154" i="13"/>
  <c r="CA154" i="13"/>
  <c r="BT154" i="13"/>
  <c r="BW154" i="13"/>
  <c r="DP154" i="13" s="1"/>
  <c r="CB154" i="13"/>
  <c r="BX154" i="13"/>
  <c r="BU154" i="13"/>
  <c r="BQ154" i="13"/>
  <c r="CC154" i="13"/>
  <c r="BR154" i="13"/>
  <c r="DN154" i="13" s="1"/>
  <c r="BV154" i="13"/>
  <c r="DO154" i="13" s="1"/>
  <c r="BY154" i="13"/>
  <c r="BZ154" i="13"/>
  <c r="DQ154" i="13" s="1"/>
  <c r="BQ82" i="14"/>
  <c r="BU82" i="14"/>
  <c r="BS82" i="14"/>
  <c r="CB82" i="14"/>
  <c r="BX82" i="14"/>
  <c r="BT82" i="14"/>
  <c r="BW82" i="14"/>
  <c r="DP82" i="14" s="1"/>
  <c r="BZ82" i="14"/>
  <c r="DQ82" i="14" s="1"/>
  <c r="CA82" i="14"/>
  <c r="BR82" i="14"/>
  <c r="DN82" i="14" s="1"/>
  <c r="CD82" i="14"/>
  <c r="BY82" i="14"/>
  <c r="CC82" i="14"/>
  <c r="BV82" i="14"/>
  <c r="DO82" i="14" s="1"/>
  <c r="BY85" i="14"/>
  <c r="CA85" i="14"/>
  <c r="CD85" i="14"/>
  <c r="BS85" i="14"/>
  <c r="BV85" i="14"/>
  <c r="DO85" i="14" s="1"/>
  <c r="BZ85" i="14"/>
  <c r="DQ85" i="14" s="1"/>
  <c r="CC85" i="14"/>
  <c r="BR85" i="14"/>
  <c r="DN85" i="14" s="1"/>
  <c r="BU85" i="14"/>
  <c r="BX85" i="14"/>
  <c r="BQ85" i="14"/>
  <c r="BW85" i="14"/>
  <c r="DP85" i="14" s="1"/>
  <c r="BT85" i="14"/>
  <c r="CB85" i="14"/>
  <c r="BT84" i="14"/>
  <c r="BX84" i="14"/>
  <c r="CA84" i="14"/>
  <c r="CD84" i="14"/>
  <c r="BS84" i="14"/>
  <c r="BV84" i="14"/>
  <c r="DO84" i="14" s="1"/>
  <c r="BW84" i="14"/>
  <c r="DP84" i="14" s="1"/>
  <c r="BZ84" i="14"/>
  <c r="DQ84" i="14" s="1"/>
  <c r="CC84" i="14"/>
  <c r="BR84" i="14"/>
  <c r="DN84" i="14" s="1"/>
  <c r="CB84" i="14"/>
  <c r="BQ84" i="14"/>
  <c r="BU84" i="14"/>
  <c r="BY84" i="14"/>
  <c r="D75" i="12"/>
  <c r="AC74" i="12"/>
  <c r="AN74" i="12"/>
  <c r="AK74" i="12"/>
  <c r="AG74" i="12"/>
  <c r="DD74" i="12" s="1"/>
  <c r="AJ74" i="12"/>
  <c r="DE74" i="12" s="1"/>
  <c r="AB74" i="12"/>
  <c r="DB74" i="12" s="1"/>
  <c r="AD74" i="12"/>
  <c r="AH74" i="12"/>
  <c r="AL74" i="12"/>
  <c r="AA74" i="12"/>
  <c r="AE74" i="12"/>
  <c r="AI74" i="12"/>
  <c r="AM74" i="12"/>
  <c r="AF74" i="12"/>
  <c r="DC74" i="12" s="1"/>
  <c r="AG65" i="12"/>
  <c r="DD65" i="12" s="1"/>
  <c r="AL65" i="12"/>
  <c r="AH65" i="12"/>
  <c r="AK65" i="12"/>
  <c r="AM65" i="12"/>
  <c r="AC65" i="12"/>
  <c r="AF65" i="12"/>
  <c r="DC65" i="12" s="1"/>
  <c r="AN65" i="12"/>
  <c r="AD65" i="12"/>
  <c r="AE65" i="12"/>
  <c r="AB65" i="12"/>
  <c r="DB65" i="12" s="1"/>
  <c r="AJ65" i="12"/>
  <c r="DE65" i="12" s="1"/>
  <c r="AI65" i="12"/>
  <c r="AA65" i="12"/>
  <c r="AQ62" i="12"/>
  <c r="AY62" i="12"/>
  <c r="AR62" i="12"/>
  <c r="AZ62" i="12"/>
  <c r="AS62" i="12"/>
  <c r="BA62" i="12"/>
  <c r="AT62" i="12"/>
  <c r="DG62" i="12" s="1"/>
  <c r="BB62" i="12"/>
  <c r="AU62" i="12"/>
  <c r="DH62" i="12" s="1"/>
  <c r="AV62" i="12"/>
  <c r="AO62" i="12"/>
  <c r="AW62" i="12"/>
  <c r="AP62" i="12"/>
  <c r="DF62" i="12" s="1"/>
  <c r="AX62" i="12"/>
  <c r="DI62" i="12" s="1"/>
  <c r="AU107" i="13"/>
  <c r="DH107" i="13" s="1"/>
  <c r="AZ107" i="13"/>
  <c r="AV107" i="13"/>
  <c r="BB107" i="13"/>
  <c r="AO107" i="13"/>
  <c r="AQ107" i="13"/>
  <c r="AW107" i="13"/>
  <c r="AP107" i="13"/>
  <c r="DF107" i="13" s="1"/>
  <c r="AS107" i="13"/>
  <c r="AX107" i="13"/>
  <c r="DI107" i="13" s="1"/>
  <c r="BA107" i="13"/>
  <c r="AT107" i="13"/>
  <c r="DG107" i="13" s="1"/>
  <c r="AR107" i="13"/>
  <c r="AY107" i="13"/>
  <c r="BA40" i="14"/>
  <c r="AP40" i="14"/>
  <c r="DF40" i="14" s="1"/>
  <c r="AO40" i="14"/>
  <c r="AX40" i="14"/>
  <c r="DI40" i="14" s="1"/>
  <c r="AW40" i="14"/>
  <c r="AT40" i="14"/>
  <c r="DG40" i="14" s="1"/>
  <c r="AS40" i="14"/>
  <c r="AQ40" i="14"/>
  <c r="BB40" i="14"/>
  <c r="AU40" i="14"/>
  <c r="DH40" i="14" s="1"/>
  <c r="AV40" i="14"/>
  <c r="AY40" i="14"/>
  <c r="AR40" i="14"/>
  <c r="AZ40" i="14"/>
  <c r="AV113" i="13"/>
  <c r="AR113" i="13"/>
  <c r="AQ113" i="13"/>
  <c r="AZ113" i="13"/>
  <c r="AY113" i="13"/>
  <c r="AS113" i="13"/>
  <c r="AO113" i="13"/>
  <c r="BA113" i="13"/>
  <c r="AP113" i="13"/>
  <c r="DF113" i="13" s="1"/>
  <c r="BB113" i="13"/>
  <c r="AX113" i="13"/>
  <c r="DI113" i="13" s="1"/>
  <c r="AT113" i="13"/>
  <c r="DG113" i="13" s="1"/>
  <c r="AU113" i="13"/>
  <c r="DH113" i="13" s="1"/>
  <c r="AW113" i="13"/>
  <c r="AU42" i="14"/>
  <c r="DH42" i="14" s="1"/>
  <c r="AV42" i="14"/>
  <c r="AO42" i="14"/>
  <c r="AW42" i="14"/>
  <c r="AT42" i="14"/>
  <c r="DG42" i="14" s="1"/>
  <c r="AX42" i="14"/>
  <c r="DI42" i="14" s="1"/>
  <c r="AS42" i="14"/>
  <c r="BB42" i="14"/>
  <c r="AP42" i="14"/>
  <c r="DF42" i="14" s="1"/>
  <c r="AQ42" i="14"/>
  <c r="BA42" i="14"/>
  <c r="AY42" i="14"/>
  <c r="AZ42" i="14"/>
  <c r="AR42" i="14"/>
  <c r="AV94" i="12"/>
  <c r="AO94" i="12"/>
  <c r="AP94" i="12"/>
  <c r="DF94" i="12" s="1"/>
  <c r="AX94" i="12"/>
  <c r="DI94" i="12" s="1"/>
  <c r="AT94" i="12"/>
  <c r="DG94" i="12" s="1"/>
  <c r="BB94" i="12"/>
  <c r="AQ94" i="12"/>
  <c r="AR94" i="12"/>
  <c r="AS94" i="12"/>
  <c r="AY94" i="12"/>
  <c r="AZ94" i="12"/>
  <c r="BA94" i="12"/>
  <c r="AW94" i="12"/>
  <c r="AU94" i="12"/>
  <c r="DH94" i="12" s="1"/>
  <c r="AP157" i="13"/>
  <c r="DF157" i="13" s="1"/>
  <c r="AT157" i="13"/>
  <c r="DG157" i="13" s="1"/>
  <c r="AX157" i="13"/>
  <c r="DI157" i="13" s="1"/>
  <c r="BB157" i="13"/>
  <c r="AQ157" i="13"/>
  <c r="AV157" i="13"/>
  <c r="AY157" i="13"/>
  <c r="AU157" i="13"/>
  <c r="DH157" i="13" s="1"/>
  <c r="AR157" i="13"/>
  <c r="AZ157" i="13"/>
  <c r="AW157" i="13"/>
  <c r="BA157" i="13"/>
  <c r="AO157" i="13"/>
  <c r="AS157" i="13"/>
  <c r="AW81" i="14"/>
  <c r="AS81" i="14"/>
  <c r="AO81" i="14"/>
  <c r="AV81" i="14"/>
  <c r="AY81" i="14"/>
  <c r="AU81" i="14"/>
  <c r="DH81" i="14" s="1"/>
  <c r="AQ81" i="14"/>
  <c r="BB81" i="14"/>
  <c r="AX81" i="14"/>
  <c r="DI81" i="14" s="1"/>
  <c r="AT81" i="14"/>
  <c r="DG81" i="14" s="1"/>
  <c r="BA81" i="14"/>
  <c r="AR81" i="14"/>
  <c r="AP81" i="14"/>
  <c r="DF81" i="14" s="1"/>
  <c r="AZ81" i="14"/>
  <c r="AX155" i="13"/>
  <c r="DI155" i="13" s="1"/>
  <c r="AW155" i="13"/>
  <c r="AR155" i="13"/>
  <c r="BA155" i="13"/>
  <c r="AV155" i="13"/>
  <c r="AS155" i="13"/>
  <c r="AP155" i="13"/>
  <c r="DF155" i="13" s="1"/>
  <c r="BB155" i="13"/>
  <c r="AQ155" i="13"/>
  <c r="AO155" i="13"/>
  <c r="AT155" i="13"/>
  <c r="DG155" i="13" s="1"/>
  <c r="AU155" i="13"/>
  <c r="DH155" i="13" s="1"/>
  <c r="AY155" i="13"/>
  <c r="AZ155" i="13"/>
  <c r="BA158" i="13"/>
  <c r="AS158" i="13"/>
  <c r="AT158" i="13"/>
  <c r="DG158" i="13" s="1"/>
  <c r="AQ158" i="13"/>
  <c r="AU158" i="13"/>
  <c r="DH158" i="13" s="1"/>
  <c r="AY158" i="13"/>
  <c r="AX158" i="13"/>
  <c r="DI158" i="13" s="1"/>
  <c r="AR158" i="13"/>
  <c r="AV158" i="13"/>
  <c r="AW158" i="13"/>
  <c r="AZ158" i="13"/>
  <c r="AO158" i="13"/>
  <c r="BB158" i="13"/>
  <c r="AP158" i="13"/>
  <c r="DF158" i="13" s="1"/>
  <c r="AX153" i="13"/>
  <c r="DI153" i="13" s="1"/>
  <c r="BB153" i="13"/>
  <c r="AQ153" i="13"/>
  <c r="AY153" i="13"/>
  <c r="AU153" i="13"/>
  <c r="DH153" i="13" s="1"/>
  <c r="AR153" i="13"/>
  <c r="AV153" i="13"/>
  <c r="AZ153" i="13"/>
  <c r="AW153" i="13"/>
  <c r="BA153" i="13"/>
  <c r="AO153" i="13"/>
  <c r="AP153" i="13"/>
  <c r="DF153" i="13" s="1"/>
  <c r="AS153" i="13"/>
  <c r="AT153" i="13"/>
  <c r="DG153" i="13" s="1"/>
  <c r="T71" i="12"/>
  <c r="Q71" i="12"/>
  <c r="Z71" i="12"/>
  <c r="O71" i="12"/>
  <c r="W71" i="12"/>
  <c r="Y71" i="12"/>
  <c r="P71" i="12"/>
  <c r="X71" i="12"/>
  <c r="S71" i="12"/>
  <c r="R71" i="12"/>
  <c r="V71" i="12"/>
  <c r="N71" i="12"/>
  <c r="U71" i="12"/>
  <c r="M71" i="12"/>
  <c r="T113" i="13"/>
  <c r="X113" i="13"/>
  <c r="M113" i="13"/>
  <c r="S113" i="13"/>
  <c r="U113" i="13"/>
  <c r="Q113" i="13"/>
  <c r="N113" i="13"/>
  <c r="R113" i="13"/>
  <c r="O113" i="13"/>
  <c r="Z113" i="13"/>
  <c r="W113" i="13"/>
  <c r="V113" i="13"/>
  <c r="P113" i="13"/>
  <c r="Y113" i="13"/>
  <c r="M115" i="13"/>
  <c r="W115" i="13"/>
  <c r="U115" i="13"/>
  <c r="X115" i="13"/>
  <c r="N115" i="13"/>
  <c r="V115" i="13"/>
  <c r="S115" i="13"/>
  <c r="R115" i="13"/>
  <c r="Q115" i="13"/>
  <c r="Z115" i="13"/>
  <c r="Y115" i="13"/>
  <c r="O115" i="13"/>
  <c r="T115" i="13"/>
  <c r="P115" i="13"/>
  <c r="H67" i="15"/>
  <c r="I67" i="15" s="1"/>
  <c r="H90" i="12"/>
  <c r="H89" i="12"/>
  <c r="H92" i="12"/>
  <c r="H94" i="12"/>
  <c r="H98" i="12"/>
  <c r="H97" i="12"/>
  <c r="H93" i="12"/>
  <c r="H88" i="12"/>
  <c r="H96" i="12"/>
  <c r="H95" i="12"/>
  <c r="H99" i="12"/>
  <c r="H91" i="12"/>
  <c r="H100" i="12"/>
  <c r="I100" i="12" s="1"/>
  <c r="F101" i="12"/>
  <c r="BD100" i="12"/>
  <c r="DJ100" i="12" s="1"/>
  <c r="BG100" i="12"/>
  <c r="BK100" i="12"/>
  <c r="BN100" i="12"/>
  <c r="BC100" i="12"/>
  <c r="BF100" i="12"/>
  <c r="BJ100" i="12"/>
  <c r="BI100" i="12"/>
  <c r="DL100" i="12" s="1"/>
  <c r="BM100" i="12"/>
  <c r="BP100" i="12"/>
  <c r="BE100" i="12"/>
  <c r="BH100" i="12"/>
  <c r="DK100" i="12" s="1"/>
  <c r="BL100" i="12"/>
  <c r="DM100" i="12" s="1"/>
  <c r="BO100" i="12"/>
  <c r="BL92" i="12"/>
  <c r="DM92" i="12" s="1"/>
  <c r="BF92" i="12"/>
  <c r="BI92" i="12"/>
  <c r="DL92" i="12" s="1"/>
  <c r="BD92" i="12"/>
  <c r="DJ92" i="12" s="1"/>
  <c r="BE92" i="12"/>
  <c r="BN92" i="12"/>
  <c r="BJ92" i="12"/>
  <c r="BC92" i="12"/>
  <c r="BK92" i="12"/>
  <c r="BM92" i="12"/>
  <c r="BG92" i="12"/>
  <c r="BO92" i="12"/>
  <c r="BH92" i="12"/>
  <c r="DK92" i="12" s="1"/>
  <c r="BP92" i="12"/>
  <c r="BH148" i="13"/>
  <c r="DK148" i="13" s="1"/>
  <c r="BD148" i="13"/>
  <c r="DJ148" i="13" s="1"/>
  <c r="BN148" i="13"/>
  <c r="BE148" i="13"/>
  <c r="BG148" i="13"/>
  <c r="BM148" i="13"/>
  <c r="BO148" i="13"/>
  <c r="BL148" i="13"/>
  <c r="DM148" i="13" s="1"/>
  <c r="BP148" i="13"/>
  <c r="BJ148" i="13"/>
  <c r="BC148" i="13"/>
  <c r="BF148" i="13"/>
  <c r="BI148" i="13"/>
  <c r="DL148" i="13" s="1"/>
  <c r="BK148" i="13"/>
  <c r="BD155" i="13"/>
  <c r="DJ155" i="13" s="1"/>
  <c r="BM155" i="13"/>
  <c r="BL155" i="13"/>
  <c r="DM155" i="13" s="1"/>
  <c r="BE155" i="13"/>
  <c r="BH155" i="13"/>
  <c r="DK155" i="13" s="1"/>
  <c r="BN155" i="13"/>
  <c r="BI155" i="13"/>
  <c r="DL155" i="13" s="1"/>
  <c r="BP155" i="13"/>
  <c r="BG155" i="13"/>
  <c r="BO155" i="13"/>
  <c r="BK155" i="13"/>
  <c r="BJ155" i="13"/>
  <c r="BF155" i="13"/>
  <c r="BC155" i="13"/>
  <c r="BI154" i="13"/>
  <c r="DL154" i="13" s="1"/>
  <c r="BF154" i="13"/>
  <c r="BG154" i="13"/>
  <c r="BL154" i="13"/>
  <c r="DM154" i="13" s="1"/>
  <c r="BO154" i="13"/>
  <c r="BE154" i="13"/>
  <c r="BH154" i="13"/>
  <c r="DK154" i="13" s="1"/>
  <c r="BM154" i="13"/>
  <c r="BP154" i="13"/>
  <c r="BN154" i="13"/>
  <c r="BC154" i="13"/>
  <c r="BK154" i="13"/>
  <c r="BD154" i="13"/>
  <c r="DJ154" i="13" s="1"/>
  <c r="BJ154" i="13"/>
  <c r="F75" i="12"/>
  <c r="BM74" i="12"/>
  <c r="BG74" i="12"/>
  <c r="BD74" i="12"/>
  <c r="DJ74" i="12" s="1"/>
  <c r="BO74" i="12"/>
  <c r="BL74" i="12"/>
  <c r="DM74" i="12" s="1"/>
  <c r="BE74" i="12"/>
  <c r="BI74" i="12"/>
  <c r="DL74" i="12" s="1"/>
  <c r="BF74" i="12"/>
  <c r="BJ74" i="12"/>
  <c r="BP74" i="12"/>
  <c r="BC74" i="12"/>
  <c r="BN74" i="12"/>
  <c r="BK74" i="12"/>
  <c r="BH74" i="12"/>
  <c r="DK74" i="12" s="1"/>
  <c r="BE67" i="12"/>
  <c r="BC67" i="12"/>
  <c r="BK67" i="12"/>
  <c r="BI67" i="12"/>
  <c r="DL67" i="12" s="1"/>
  <c r="BN67" i="12"/>
  <c r="BD67" i="12"/>
  <c r="DJ67" i="12" s="1"/>
  <c r="BL67" i="12"/>
  <c r="DM67" i="12" s="1"/>
  <c r="BO67" i="12"/>
  <c r="BG67" i="12"/>
  <c r="BF67" i="12"/>
  <c r="BP67" i="12"/>
  <c r="BM67" i="12"/>
  <c r="BJ67" i="12"/>
  <c r="BH67" i="12"/>
  <c r="DK67" i="12" s="1"/>
  <c r="BF106" i="13"/>
  <c r="BC106" i="13"/>
  <c r="BN106" i="13"/>
  <c r="BK106" i="13"/>
  <c r="BG106" i="13"/>
  <c r="BE106" i="13"/>
  <c r="BO106" i="13"/>
  <c r="BM106" i="13"/>
  <c r="BP106" i="13"/>
  <c r="BD106" i="13"/>
  <c r="DJ106" i="13" s="1"/>
  <c r="BI106" i="13"/>
  <c r="DL106" i="13" s="1"/>
  <c r="BL106" i="13"/>
  <c r="DM106" i="13" s="1"/>
  <c r="BH106" i="13"/>
  <c r="DK106" i="13" s="1"/>
  <c r="BJ106" i="13"/>
  <c r="BD108" i="13"/>
  <c r="DJ108" i="13" s="1"/>
  <c r="BM108" i="13"/>
  <c r="BG108" i="13"/>
  <c r="BE108" i="13"/>
  <c r="BI108" i="13"/>
  <c r="DL108" i="13" s="1"/>
  <c r="BN108" i="13"/>
  <c r="BJ108" i="13"/>
  <c r="BH108" i="13"/>
  <c r="DK108" i="13" s="1"/>
  <c r="BK108" i="13"/>
  <c r="BP108" i="13"/>
  <c r="BL108" i="13"/>
  <c r="DM108" i="13" s="1"/>
  <c r="BF108" i="13"/>
  <c r="BC108" i="13"/>
  <c r="BO108" i="13"/>
  <c r="BS97" i="12"/>
  <c r="BZ97" i="12"/>
  <c r="DQ97" i="12" s="1"/>
  <c r="BT97" i="12"/>
  <c r="BU97" i="12"/>
  <c r="BV97" i="12"/>
  <c r="DO97" i="12" s="1"/>
  <c r="BW97" i="12"/>
  <c r="DP97" i="12" s="1"/>
  <c r="CB97" i="12"/>
  <c r="CC97" i="12"/>
  <c r="CD97" i="12"/>
  <c r="BQ97" i="12"/>
  <c r="BR97" i="12"/>
  <c r="DN97" i="12" s="1"/>
  <c r="CA97" i="12"/>
  <c r="BY97" i="12"/>
  <c r="BX97" i="12"/>
  <c r="CC79" i="14"/>
  <c r="CA79" i="14"/>
  <c r="BX79" i="14"/>
  <c r="BS79" i="14"/>
  <c r="BW79" i="14"/>
  <c r="DP79" i="14" s="1"/>
  <c r="BU79" i="14"/>
  <c r="CD79" i="14"/>
  <c r="BZ79" i="14"/>
  <c r="DQ79" i="14" s="1"/>
  <c r="BV79" i="14"/>
  <c r="DO79" i="14" s="1"/>
  <c r="BR79" i="14"/>
  <c r="DN79" i="14" s="1"/>
  <c r="CB79" i="14"/>
  <c r="BQ79" i="14"/>
  <c r="BY79" i="14"/>
  <c r="BT79" i="14"/>
  <c r="BY150" i="13"/>
  <c r="BW150" i="13"/>
  <c r="DP150" i="13" s="1"/>
  <c r="BZ150" i="13"/>
  <c r="DQ150" i="13" s="1"/>
  <c r="BX150" i="13"/>
  <c r="BQ150" i="13"/>
  <c r="CA150" i="13"/>
  <c r="BU150" i="13"/>
  <c r="BR150" i="13"/>
  <c r="DN150" i="13" s="1"/>
  <c r="CC150" i="13"/>
  <c r="CB150" i="13"/>
  <c r="CD150" i="13"/>
  <c r="BT150" i="13"/>
  <c r="BV150" i="13"/>
  <c r="DO150" i="13" s="1"/>
  <c r="BS150" i="13"/>
  <c r="AG62" i="12"/>
  <c r="DD62" i="12" s="1"/>
  <c r="AM62" i="12"/>
  <c r="AK62" i="12"/>
  <c r="AE62" i="12"/>
  <c r="AC62" i="12"/>
  <c r="AN62" i="12"/>
  <c r="AJ62" i="12"/>
  <c r="DE62" i="12" s="1"/>
  <c r="AF62" i="12"/>
  <c r="DC62" i="12" s="1"/>
  <c r="AL62" i="12"/>
  <c r="AB62" i="12"/>
  <c r="DB62" i="12" s="1"/>
  <c r="AD62" i="12"/>
  <c r="AH62" i="12"/>
  <c r="AI62" i="12"/>
  <c r="AA62" i="12"/>
  <c r="AE64" i="12"/>
  <c r="AM64" i="12"/>
  <c r="AI64" i="12"/>
  <c r="AB64" i="12"/>
  <c r="DB64" i="12" s="1"/>
  <c r="AJ64" i="12"/>
  <c r="DE64" i="12" s="1"/>
  <c r="AF64" i="12"/>
  <c r="DC64" i="12" s="1"/>
  <c r="AC64" i="12"/>
  <c r="AN64" i="12"/>
  <c r="AK64" i="12"/>
  <c r="AG64" i="12"/>
  <c r="DD64" i="12" s="1"/>
  <c r="AD64" i="12"/>
  <c r="AH64" i="12"/>
  <c r="AL64" i="12"/>
  <c r="AA64" i="12"/>
  <c r="AA109" i="13"/>
  <c r="AF109" i="13"/>
  <c r="DC109" i="13" s="1"/>
  <c r="AI109" i="13"/>
  <c r="AN109" i="13"/>
  <c r="AB109" i="13"/>
  <c r="DB109" i="13" s="1"/>
  <c r="AE109" i="13"/>
  <c r="AJ109" i="13"/>
  <c r="DE109" i="13" s="1"/>
  <c r="AM109" i="13"/>
  <c r="AK109" i="13"/>
  <c r="AG109" i="13"/>
  <c r="DD109" i="13" s="1"/>
  <c r="AD109" i="13"/>
  <c r="AL109" i="13"/>
  <c r="AH109" i="13"/>
  <c r="AC109" i="13"/>
  <c r="AD115" i="13"/>
  <c r="AC115" i="13"/>
  <c r="AH115" i="13"/>
  <c r="AL115" i="13"/>
  <c r="AA115" i="13"/>
  <c r="AG115" i="13"/>
  <c r="DD115" i="13" s="1"/>
  <c r="AI115" i="13"/>
  <c r="AE115" i="13"/>
  <c r="AB115" i="13"/>
  <c r="DB115" i="13" s="1"/>
  <c r="AF115" i="13"/>
  <c r="DC115" i="13" s="1"/>
  <c r="AJ115" i="13"/>
  <c r="DE115" i="13" s="1"/>
  <c r="AM115" i="13"/>
  <c r="AN115" i="13"/>
  <c r="AK115" i="13"/>
  <c r="E75" i="12"/>
  <c r="AO74" i="12"/>
  <c r="AV74" i="12"/>
  <c r="AS74" i="12"/>
  <c r="AW74" i="12"/>
  <c r="BA74" i="12"/>
  <c r="AP74" i="12"/>
  <c r="DF74" i="12" s="1"/>
  <c r="AT74" i="12"/>
  <c r="DG74" i="12" s="1"/>
  <c r="AX74" i="12"/>
  <c r="DI74" i="12" s="1"/>
  <c r="BB74" i="12"/>
  <c r="AQ74" i="12"/>
  <c r="AZ74" i="12"/>
  <c r="AY74" i="12"/>
  <c r="AU74" i="12"/>
  <c r="DH74" i="12" s="1"/>
  <c r="AR74" i="12"/>
  <c r="AU63" i="12"/>
  <c r="DH63" i="12" s="1"/>
  <c r="AZ63" i="12"/>
  <c r="BB63" i="12"/>
  <c r="AT63" i="12"/>
  <c r="DG63" i="12" s="1"/>
  <c r="AR63" i="12"/>
  <c r="AX63" i="12"/>
  <c r="DI63" i="12" s="1"/>
  <c r="AW63" i="12"/>
  <c r="AV63" i="12"/>
  <c r="BA63" i="12"/>
  <c r="AP63" i="12"/>
  <c r="DF63" i="12" s="1"/>
  <c r="AO63" i="12"/>
  <c r="AS63" i="12"/>
  <c r="AY63" i="12"/>
  <c r="AQ63" i="12"/>
  <c r="AW17" i="15"/>
  <c r="AR17" i="15"/>
  <c r="AY17" i="15"/>
  <c r="BA17" i="15"/>
  <c r="AO17" i="15"/>
  <c r="AZ17" i="15"/>
  <c r="AT17" i="15"/>
  <c r="DG17" i="15" s="1"/>
  <c r="AP17" i="15"/>
  <c r="DF17" i="15" s="1"/>
  <c r="AV17" i="15"/>
  <c r="BB17" i="15"/>
  <c r="AQ17" i="15"/>
  <c r="AU17" i="15"/>
  <c r="DH17" i="15" s="1"/>
  <c r="AX17" i="15"/>
  <c r="DI17" i="15" s="1"/>
  <c r="AS17" i="15"/>
  <c r="AV98" i="12"/>
  <c r="AW98" i="12"/>
  <c r="AO98" i="12"/>
  <c r="AU98" i="12"/>
  <c r="DH98" i="12" s="1"/>
  <c r="AY98" i="12"/>
  <c r="AP98" i="12"/>
  <c r="DF98" i="12" s="1"/>
  <c r="AX98" i="12"/>
  <c r="DI98" i="12" s="1"/>
  <c r="AT98" i="12"/>
  <c r="DG98" i="12" s="1"/>
  <c r="BB98" i="12"/>
  <c r="AQ98" i="12"/>
  <c r="AR98" i="12"/>
  <c r="AS98" i="12"/>
  <c r="AZ98" i="12"/>
  <c r="BA98" i="12"/>
  <c r="AY82" i="14"/>
  <c r="BB82" i="14"/>
  <c r="AQ82" i="14"/>
  <c r="AT82" i="14"/>
  <c r="DG82" i="14" s="1"/>
  <c r="AP82" i="14"/>
  <c r="DF82" i="14" s="1"/>
  <c r="BA82" i="14"/>
  <c r="AW82" i="14"/>
  <c r="AZ82" i="14"/>
  <c r="AV82" i="14"/>
  <c r="AU82" i="14"/>
  <c r="DH82" i="14" s="1"/>
  <c r="AX82" i="14"/>
  <c r="DI82" i="14" s="1"/>
  <c r="AS82" i="14"/>
  <c r="AR82" i="14"/>
  <c r="AO82" i="14"/>
  <c r="AS85" i="14"/>
  <c r="AV85" i="14"/>
  <c r="AY85" i="14"/>
  <c r="AU85" i="14"/>
  <c r="DH85" i="14" s="1"/>
  <c r="AQ85" i="14"/>
  <c r="BA85" i="14"/>
  <c r="AX85" i="14"/>
  <c r="DI85" i="14" s="1"/>
  <c r="BB85" i="14"/>
  <c r="AP85" i="14"/>
  <c r="DF85" i="14" s="1"/>
  <c r="AT85" i="14"/>
  <c r="DG85" i="14" s="1"/>
  <c r="AO85" i="14"/>
  <c r="AR85" i="14"/>
  <c r="AW85" i="14"/>
  <c r="AZ85" i="14"/>
  <c r="AV80" i="14"/>
  <c r="AZ80" i="14"/>
  <c r="AU80" i="14"/>
  <c r="DH80" i="14" s="1"/>
  <c r="AR80" i="14"/>
  <c r="AQ80" i="14"/>
  <c r="AX80" i="14"/>
  <c r="DI80" i="14" s="1"/>
  <c r="BB80" i="14"/>
  <c r="AP80" i="14"/>
  <c r="DF80" i="14" s="1"/>
  <c r="AT80" i="14"/>
  <c r="DG80" i="14" s="1"/>
  <c r="BA80" i="14"/>
  <c r="AO80" i="14"/>
  <c r="AY80" i="14"/>
  <c r="AW80" i="14"/>
  <c r="AS80" i="14"/>
  <c r="BA79" i="14"/>
  <c r="AP79" i="14"/>
  <c r="DF79" i="14" s="1"/>
  <c r="AS79" i="14"/>
  <c r="AV79" i="14"/>
  <c r="AZ79" i="14"/>
  <c r="AR79" i="14"/>
  <c r="AU79" i="14"/>
  <c r="DH79" i="14" s="1"/>
  <c r="AY79" i="14"/>
  <c r="AW79" i="14"/>
  <c r="AQ79" i="14"/>
  <c r="AT79" i="14"/>
  <c r="DG79" i="14" s="1"/>
  <c r="AX79" i="14"/>
  <c r="DI79" i="14" s="1"/>
  <c r="BB79" i="14"/>
  <c r="AO79" i="14"/>
  <c r="C75" i="12"/>
  <c r="W74" i="12"/>
  <c r="S74" i="12"/>
  <c r="P74" i="12"/>
  <c r="X74" i="12"/>
  <c r="M74" i="12"/>
  <c r="Q74" i="12"/>
  <c r="U74" i="12"/>
  <c r="Y74" i="12"/>
  <c r="N74" i="12"/>
  <c r="R74" i="12"/>
  <c r="V74" i="12"/>
  <c r="Z74" i="12"/>
  <c r="O74" i="12"/>
  <c r="T74" i="12"/>
  <c r="Q65" i="12"/>
  <c r="P65" i="12"/>
  <c r="X65" i="12"/>
  <c r="N65" i="12"/>
  <c r="W65" i="12"/>
  <c r="O65" i="12"/>
  <c r="M65" i="12"/>
  <c r="R65" i="12"/>
  <c r="V65" i="12"/>
  <c r="T65" i="12"/>
  <c r="Z65" i="12"/>
  <c r="U65" i="12"/>
  <c r="Y65" i="12"/>
  <c r="S65" i="12"/>
  <c r="X110" i="13"/>
  <c r="M110" i="13"/>
  <c r="Q110" i="13"/>
  <c r="U110" i="13"/>
  <c r="Y110" i="13"/>
  <c r="N110" i="13"/>
  <c r="R110" i="13"/>
  <c r="V110" i="13"/>
  <c r="Z110" i="13"/>
  <c r="W110" i="13"/>
  <c r="T110" i="13"/>
  <c r="S110" i="13"/>
  <c r="O110" i="13"/>
  <c r="P110" i="13"/>
  <c r="V36" i="14"/>
  <c r="Y36" i="14"/>
  <c r="Q36" i="14"/>
  <c r="S36" i="14"/>
  <c r="P36" i="14"/>
  <c r="R36" i="14"/>
  <c r="X36" i="14"/>
  <c r="M36" i="14"/>
  <c r="T36" i="14"/>
  <c r="U36" i="14"/>
  <c r="O36" i="14"/>
  <c r="Z36" i="14"/>
  <c r="N36" i="14"/>
  <c r="W36" i="14"/>
  <c r="X17" i="15"/>
  <c r="Q17" i="15"/>
  <c r="T17" i="15"/>
  <c r="P17" i="15"/>
  <c r="O17" i="15"/>
  <c r="Y17" i="15"/>
  <c r="Z17" i="15"/>
  <c r="R17" i="15"/>
  <c r="M17" i="15"/>
  <c r="N17" i="15"/>
  <c r="U17" i="15"/>
  <c r="V17" i="15"/>
  <c r="S17" i="15"/>
  <c r="W17" i="15"/>
  <c r="BK96" i="12"/>
  <c r="BD96" i="12"/>
  <c r="DJ96" i="12" s="1"/>
  <c r="BG96" i="12"/>
  <c r="BO96" i="12"/>
  <c r="BH96" i="12"/>
  <c r="DK96" i="12" s="1"/>
  <c r="BC96" i="12"/>
  <c r="BL96" i="12"/>
  <c r="DM96" i="12" s="1"/>
  <c r="BE96" i="12"/>
  <c r="BP96" i="12"/>
  <c r="BI96" i="12"/>
  <c r="DL96" i="12" s="1"/>
  <c r="BM96" i="12"/>
  <c r="BJ96" i="12"/>
  <c r="BF96" i="12"/>
  <c r="BN96" i="12"/>
  <c r="BL94" i="12"/>
  <c r="DM94" i="12" s="1"/>
  <c r="BM94" i="12"/>
  <c r="BE94" i="12"/>
  <c r="BC94" i="12"/>
  <c r="BK94" i="12"/>
  <c r="BF94" i="12"/>
  <c r="BG94" i="12"/>
  <c r="BH94" i="12"/>
  <c r="DK94" i="12" s="1"/>
  <c r="BD94" i="12"/>
  <c r="DJ94" i="12" s="1"/>
  <c r="BN94" i="12"/>
  <c r="BO94" i="12"/>
  <c r="BP94" i="12"/>
  <c r="BI94" i="12"/>
  <c r="DL94" i="12" s="1"/>
  <c r="BJ94" i="12"/>
  <c r="BI152" i="13"/>
  <c r="DL152" i="13" s="1"/>
  <c r="BF152" i="13"/>
  <c r="BK152" i="13"/>
  <c r="BD152" i="13"/>
  <c r="DJ152" i="13" s="1"/>
  <c r="BG152" i="13"/>
  <c r="BL152" i="13"/>
  <c r="DM152" i="13" s="1"/>
  <c r="BO152" i="13"/>
  <c r="BE152" i="13"/>
  <c r="BH152" i="13"/>
  <c r="DK152" i="13" s="1"/>
  <c r="BM152" i="13"/>
  <c r="BP152" i="13"/>
  <c r="BN152" i="13"/>
  <c r="BJ152" i="13"/>
  <c r="BC152" i="13"/>
  <c r="BP80" i="14"/>
  <c r="BE80" i="14"/>
  <c r="BH80" i="14"/>
  <c r="DK80" i="14" s="1"/>
  <c r="BL80" i="14"/>
  <c r="DM80" i="14" s="1"/>
  <c r="BK80" i="14"/>
  <c r="BD80" i="14"/>
  <c r="DJ80" i="14" s="1"/>
  <c r="BO80" i="14"/>
  <c r="BJ80" i="14"/>
  <c r="BG80" i="14"/>
  <c r="BC80" i="14"/>
  <c r="BN80" i="14"/>
  <c r="BI80" i="14"/>
  <c r="DL80" i="14" s="1"/>
  <c r="BM80" i="14"/>
  <c r="BF80" i="14"/>
  <c r="BH158" i="13"/>
  <c r="DK158" i="13" s="1"/>
  <c r="BL158" i="13"/>
  <c r="DM158" i="13" s="1"/>
  <c r="BP158" i="13"/>
  <c r="BE158" i="13"/>
  <c r="BI158" i="13"/>
  <c r="DL158" i="13" s="1"/>
  <c r="BM158" i="13"/>
  <c r="BG158" i="13"/>
  <c r="BJ158" i="13"/>
  <c r="BN158" i="13"/>
  <c r="BF158" i="13"/>
  <c r="BC158" i="13"/>
  <c r="BK158" i="13"/>
  <c r="BD158" i="13"/>
  <c r="DJ158" i="13" s="1"/>
  <c r="BO158" i="13"/>
  <c r="BG62" i="12"/>
  <c r="BO62" i="12"/>
  <c r="BH62" i="12"/>
  <c r="DK62" i="12" s="1"/>
  <c r="BP62" i="12"/>
  <c r="BI62" i="12"/>
  <c r="DL62" i="12" s="1"/>
  <c r="BJ62" i="12"/>
  <c r="BC62" i="12"/>
  <c r="BK62" i="12"/>
  <c r="BD62" i="12"/>
  <c r="DJ62" i="12" s="1"/>
  <c r="BL62" i="12"/>
  <c r="DM62" i="12" s="1"/>
  <c r="BE62" i="12"/>
  <c r="BM62" i="12"/>
  <c r="BF62" i="12"/>
  <c r="BN62" i="12"/>
  <c r="BE63" i="12"/>
  <c r="BM63" i="12"/>
  <c r="BF63" i="12"/>
  <c r="BC63" i="12"/>
  <c r="BN63" i="12"/>
  <c r="BK63" i="12"/>
  <c r="BG63" i="12"/>
  <c r="BD63" i="12"/>
  <c r="DJ63" i="12" s="1"/>
  <c r="BO63" i="12"/>
  <c r="BL63" i="12"/>
  <c r="DM63" i="12" s="1"/>
  <c r="BH63" i="12"/>
  <c r="DK63" i="12" s="1"/>
  <c r="BP63" i="12"/>
  <c r="BI63" i="12"/>
  <c r="DL63" i="12" s="1"/>
  <c r="BJ63" i="12"/>
  <c r="BM105" i="13"/>
  <c r="BE105" i="13"/>
  <c r="BF105" i="13"/>
  <c r="BN105" i="13"/>
  <c r="BI105" i="13"/>
  <c r="DL105" i="13" s="1"/>
  <c r="BG105" i="13"/>
  <c r="BK105" i="13"/>
  <c r="BH105" i="13"/>
  <c r="DK105" i="13" s="1"/>
  <c r="BD105" i="13"/>
  <c r="DJ105" i="13" s="1"/>
  <c r="BP105" i="13"/>
  <c r="BC105" i="13"/>
  <c r="BL105" i="13"/>
  <c r="DM105" i="13" s="1"/>
  <c r="BO105" i="13"/>
  <c r="BJ105" i="13"/>
  <c r="BL112" i="13"/>
  <c r="DM112" i="13" s="1"/>
  <c r="BF112" i="13"/>
  <c r="BD112" i="13"/>
  <c r="DJ112" i="13" s="1"/>
  <c r="BM112" i="13"/>
  <c r="BC112" i="13"/>
  <c r="BG112" i="13"/>
  <c r="BK112" i="13"/>
  <c r="BP112" i="13"/>
  <c r="BH112" i="13"/>
  <c r="DK112" i="13" s="1"/>
  <c r="BN112" i="13"/>
  <c r="BO112" i="13"/>
  <c r="BE112" i="13"/>
  <c r="BI112" i="13"/>
  <c r="DL112" i="13" s="1"/>
  <c r="BJ112" i="13"/>
  <c r="BJ103" i="13"/>
  <c r="BO103" i="13"/>
  <c r="BD103" i="13"/>
  <c r="DJ103" i="13" s="1"/>
  <c r="BH103" i="13"/>
  <c r="DK103" i="13" s="1"/>
  <c r="BL103" i="13"/>
  <c r="DM103" i="13" s="1"/>
  <c r="BP103" i="13"/>
  <c r="BE103" i="13"/>
  <c r="BI103" i="13"/>
  <c r="DL103" i="13" s="1"/>
  <c r="BM103" i="13"/>
  <c r="BC103" i="13"/>
  <c r="BF103" i="13"/>
  <c r="BK103" i="13"/>
  <c r="BG103" i="13"/>
  <c r="BN103" i="13"/>
  <c r="G101" i="12"/>
  <c r="CC100" i="12"/>
  <c r="CD100" i="12"/>
  <c r="BZ100" i="12"/>
  <c r="DQ100" i="12" s="1"/>
  <c r="CA100" i="12"/>
  <c r="BT100" i="12"/>
  <c r="BU100" i="12"/>
  <c r="BV100" i="12"/>
  <c r="DO100" i="12" s="1"/>
  <c r="BR100" i="12"/>
  <c r="DN100" i="12" s="1"/>
  <c r="BQ100" i="12"/>
  <c r="BS100" i="12"/>
  <c r="CB100" i="12"/>
  <c r="BY100" i="12"/>
  <c r="BX100" i="12"/>
  <c r="BW100" i="12"/>
  <c r="DP100" i="12" s="1"/>
  <c r="CB94" i="12"/>
  <c r="BX94" i="12"/>
  <c r="BS94" i="12"/>
  <c r="BT94" i="12"/>
  <c r="CA94" i="12"/>
  <c r="BU94" i="12"/>
  <c r="CC94" i="12"/>
  <c r="BR94" i="12"/>
  <c r="DN94" i="12" s="1"/>
  <c r="BV94" i="12"/>
  <c r="DO94" i="12" s="1"/>
  <c r="BQ94" i="12"/>
  <c r="BZ94" i="12"/>
  <c r="DQ94" i="12" s="1"/>
  <c r="CD94" i="12"/>
  <c r="BW94" i="12"/>
  <c r="DP94" i="12" s="1"/>
  <c r="BY94" i="12"/>
  <c r="BX156" i="13"/>
  <c r="BT156" i="13"/>
  <c r="BQ156" i="13"/>
  <c r="CB156" i="13"/>
  <c r="BY156" i="13"/>
  <c r="BU156" i="13"/>
  <c r="BZ156" i="13"/>
  <c r="DQ156" i="13" s="1"/>
  <c r="BV156" i="13"/>
  <c r="DO156" i="13" s="1"/>
  <c r="BS156" i="13"/>
  <c r="CD156" i="13"/>
  <c r="BW156" i="13"/>
  <c r="DP156" i="13" s="1"/>
  <c r="CC156" i="13"/>
  <c r="BR156" i="13"/>
  <c r="DN156" i="13" s="1"/>
  <c r="CA156" i="13"/>
  <c r="CC83" i="14"/>
  <c r="CD83" i="14"/>
  <c r="BU83" i="14"/>
  <c r="BV83" i="14"/>
  <c r="DO83" i="14" s="1"/>
  <c r="BR83" i="14"/>
  <c r="DN83" i="14" s="1"/>
  <c r="BT83" i="14"/>
  <c r="BY83" i="14"/>
  <c r="CA83" i="14"/>
  <c r="BX83" i="14"/>
  <c r="BZ83" i="14"/>
  <c r="DQ83" i="14" s="1"/>
  <c r="BQ83" i="14"/>
  <c r="BW83" i="14"/>
  <c r="DP83" i="14" s="1"/>
  <c r="CB83" i="14"/>
  <c r="BS83" i="14"/>
  <c r="AA66" i="12"/>
  <c r="AH66" i="12"/>
  <c r="AC66" i="12"/>
  <c r="AM66" i="12"/>
  <c r="AG66" i="12"/>
  <c r="DD66" i="12" s="1"/>
  <c r="AE66" i="12"/>
  <c r="AK66" i="12"/>
  <c r="AN66" i="12"/>
  <c r="AL66" i="12"/>
  <c r="AI66" i="12"/>
  <c r="AF66" i="12"/>
  <c r="DC66" i="12" s="1"/>
  <c r="AD66" i="12"/>
  <c r="AJ66" i="12"/>
  <c r="DE66" i="12" s="1"/>
  <c r="AB66" i="12"/>
  <c r="DB66" i="12" s="1"/>
  <c r="AH70" i="12"/>
  <c r="AD70" i="12"/>
  <c r="AC70" i="12"/>
  <c r="AL70" i="12"/>
  <c r="AF70" i="12"/>
  <c r="DC70" i="12" s="1"/>
  <c r="AK70" i="12"/>
  <c r="AN70" i="12"/>
  <c r="AA70" i="12"/>
  <c r="AI70" i="12"/>
  <c r="AB70" i="12"/>
  <c r="DB70" i="12" s="1"/>
  <c r="AJ70" i="12"/>
  <c r="DE70" i="12" s="1"/>
  <c r="AE70" i="12"/>
  <c r="AM70" i="12"/>
  <c r="AG70" i="12"/>
  <c r="DD70" i="12" s="1"/>
  <c r="AM17" i="15"/>
  <c r="AA17" i="15"/>
  <c r="AF17" i="15"/>
  <c r="DC17" i="15" s="1"/>
  <c r="AG17" i="15"/>
  <c r="DD17" i="15" s="1"/>
  <c r="AE17" i="15"/>
  <c r="AK17" i="15"/>
  <c r="AH17" i="15"/>
  <c r="AC17" i="15"/>
  <c r="AI17" i="15"/>
  <c r="AD17" i="15"/>
  <c r="AB17" i="15"/>
  <c r="DB17" i="15" s="1"/>
  <c r="AN17" i="15"/>
  <c r="AJ17" i="15"/>
  <c r="DE17" i="15" s="1"/>
  <c r="AL17" i="15"/>
  <c r="AO67" i="12"/>
  <c r="AQ67" i="12"/>
  <c r="AX67" i="12"/>
  <c r="DI67" i="12" s="1"/>
  <c r="AU67" i="12"/>
  <c r="DH67" i="12" s="1"/>
  <c r="BB67" i="12"/>
  <c r="AY67" i="12"/>
  <c r="AV67" i="12"/>
  <c r="AP67" i="12"/>
  <c r="DF67" i="12" s="1"/>
  <c r="AS67" i="12"/>
  <c r="BA67" i="12"/>
  <c r="AT67" i="12"/>
  <c r="DG67" i="12" s="1"/>
  <c r="AR67" i="12"/>
  <c r="AZ67" i="12"/>
  <c r="AW67" i="12"/>
  <c r="AS73" i="12"/>
  <c r="BB73" i="12"/>
  <c r="AU73" i="12"/>
  <c r="DH73" i="12" s="1"/>
  <c r="BA73" i="12"/>
  <c r="AP73" i="12"/>
  <c r="DF73" i="12" s="1"/>
  <c r="AR73" i="12"/>
  <c r="AO73" i="12"/>
  <c r="AZ73" i="12"/>
  <c r="AW73" i="12"/>
  <c r="AV73" i="12"/>
  <c r="AY73" i="12"/>
  <c r="AQ73" i="12"/>
  <c r="AX73" i="12"/>
  <c r="DI73" i="12" s="1"/>
  <c r="AT73" i="12"/>
  <c r="DG73" i="12" s="1"/>
  <c r="AZ97" i="12"/>
  <c r="AR97" i="12"/>
  <c r="AV97" i="12"/>
  <c r="AT97" i="12"/>
  <c r="DG97" i="12" s="1"/>
  <c r="AP97" i="12"/>
  <c r="DF97" i="12" s="1"/>
  <c r="AS97" i="12"/>
  <c r="BB97" i="12"/>
  <c r="AX97" i="12"/>
  <c r="DI97" i="12" s="1"/>
  <c r="AQ97" i="12"/>
  <c r="BA97" i="12"/>
  <c r="AY97" i="12"/>
  <c r="AO97" i="12"/>
  <c r="AU97" i="12"/>
  <c r="DH97" i="12" s="1"/>
  <c r="AW97" i="12"/>
  <c r="AT83" i="14"/>
  <c r="DG83" i="14" s="1"/>
  <c r="AX83" i="14"/>
  <c r="DI83" i="14" s="1"/>
  <c r="BA83" i="14"/>
  <c r="AP83" i="14"/>
  <c r="DF83" i="14" s="1"/>
  <c r="AS83" i="14"/>
  <c r="AV83" i="14"/>
  <c r="AZ83" i="14"/>
  <c r="AR83" i="14"/>
  <c r="AU83" i="14"/>
  <c r="DH83" i="14" s="1"/>
  <c r="AO83" i="14"/>
  <c r="BB83" i="14"/>
  <c r="AQ83" i="14"/>
  <c r="AW83" i="14"/>
  <c r="AY83" i="14"/>
  <c r="O64" i="12"/>
  <c r="V64" i="12"/>
  <c r="T64" i="12"/>
  <c r="X64" i="12"/>
  <c r="U64" i="12"/>
  <c r="Q64" i="12"/>
  <c r="Y64" i="12"/>
  <c r="N64" i="12"/>
  <c r="M64" i="12"/>
  <c r="P64" i="12"/>
  <c r="W64" i="12"/>
  <c r="R64" i="12"/>
  <c r="S64" i="12"/>
  <c r="Z64" i="12"/>
  <c r="P114" i="13"/>
  <c r="O114" i="13"/>
  <c r="X114" i="13"/>
  <c r="W114" i="13"/>
  <c r="Q114" i="13"/>
  <c r="M114" i="13"/>
  <c r="Y114" i="13"/>
  <c r="N114" i="13"/>
  <c r="R114" i="13"/>
  <c r="U114" i="13"/>
  <c r="Z114" i="13"/>
  <c r="V114" i="13"/>
  <c r="T114" i="13"/>
  <c r="S114" i="13"/>
  <c r="T108" i="13"/>
  <c r="M108" i="13"/>
  <c r="N108" i="13"/>
  <c r="P108" i="13"/>
  <c r="V108" i="13"/>
  <c r="O108" i="13"/>
  <c r="R108" i="13"/>
  <c r="U108" i="13"/>
  <c r="Q108" i="13"/>
  <c r="W108" i="13"/>
  <c r="S108" i="13"/>
  <c r="X108" i="13"/>
  <c r="Y108" i="13"/>
  <c r="Z108" i="13"/>
  <c r="M37" i="14"/>
  <c r="X37" i="14"/>
  <c r="W37" i="14"/>
  <c r="V37" i="14"/>
  <c r="Y37" i="14"/>
  <c r="N37" i="14"/>
  <c r="Q37" i="14"/>
  <c r="O37" i="14"/>
  <c r="Z37" i="14"/>
  <c r="T37" i="14"/>
  <c r="S37" i="14"/>
  <c r="R37" i="14"/>
  <c r="U37" i="14"/>
  <c r="P37" i="14"/>
  <c r="BL91" i="12"/>
  <c r="DM91" i="12" s="1"/>
  <c r="BK91" i="12"/>
  <c r="BJ91" i="12"/>
  <c r="BG91" i="12"/>
  <c r="BF91" i="12"/>
  <c r="BO91" i="12"/>
  <c r="BE91" i="12"/>
  <c r="BI91" i="12"/>
  <c r="DL91" i="12" s="1"/>
  <c r="BN91" i="12"/>
  <c r="BD91" i="12"/>
  <c r="DJ91" i="12" s="1"/>
  <c r="BM91" i="12"/>
  <c r="BC91" i="12"/>
  <c r="BH91" i="12"/>
  <c r="DK91" i="12" s="1"/>
  <c r="BP91" i="12"/>
  <c r="BK89" i="12"/>
  <c r="BL89" i="12"/>
  <c r="DM89" i="12" s="1"/>
  <c r="BI89" i="12"/>
  <c r="DL89" i="12" s="1"/>
  <c r="BF89" i="12"/>
  <c r="BG89" i="12"/>
  <c r="BH89" i="12"/>
  <c r="DK89" i="12" s="1"/>
  <c r="BE89" i="12"/>
  <c r="BN89" i="12"/>
  <c r="BO89" i="12"/>
  <c r="BP89" i="12"/>
  <c r="BM89" i="12"/>
  <c r="BC89" i="12"/>
  <c r="BD89" i="12"/>
  <c r="DJ89" i="12" s="1"/>
  <c r="BJ89" i="12"/>
  <c r="BJ81" i="14"/>
  <c r="BF81" i="14"/>
  <c r="BI81" i="14"/>
  <c r="DL81" i="14" s="1"/>
  <c r="BE81" i="14"/>
  <c r="BM81" i="14"/>
  <c r="BL81" i="14"/>
  <c r="DM81" i="14" s="1"/>
  <c r="BP81" i="14"/>
  <c r="BD81" i="14"/>
  <c r="DJ81" i="14" s="1"/>
  <c r="BH81" i="14"/>
  <c r="DK81" i="14" s="1"/>
  <c r="BO81" i="14"/>
  <c r="BC81" i="14"/>
  <c r="BN81" i="14"/>
  <c r="BK81" i="14"/>
  <c r="BG81" i="14"/>
  <c r="BI84" i="14"/>
  <c r="DL84" i="14" s="1"/>
  <c r="BF84" i="14"/>
  <c r="BC84" i="14"/>
  <c r="BM84" i="14"/>
  <c r="BP84" i="14"/>
  <c r="BE84" i="14"/>
  <c r="BH84" i="14"/>
  <c r="DK84" i="14" s="1"/>
  <c r="BL84" i="14"/>
  <c r="DM84" i="14" s="1"/>
  <c r="BO84" i="14"/>
  <c r="BD84" i="14"/>
  <c r="DJ84" i="14" s="1"/>
  <c r="BK84" i="14"/>
  <c r="BN84" i="14"/>
  <c r="BG84" i="14"/>
  <c r="BJ84" i="14"/>
  <c r="BE79" i="14"/>
  <c r="BH79" i="14"/>
  <c r="DK79" i="14" s="1"/>
  <c r="BL79" i="14"/>
  <c r="DM79" i="14" s="1"/>
  <c r="BD79" i="14"/>
  <c r="DJ79" i="14" s="1"/>
  <c r="BO79" i="14"/>
  <c r="BI79" i="14"/>
  <c r="DL79" i="14" s="1"/>
  <c r="BG79" i="14"/>
  <c r="BK79" i="14"/>
  <c r="BN79" i="14"/>
  <c r="BC79" i="14"/>
  <c r="BM79" i="14"/>
  <c r="BP79" i="14"/>
  <c r="BJ79" i="14"/>
  <c r="BF79" i="14"/>
  <c r="BL149" i="13"/>
  <c r="DM149" i="13" s="1"/>
  <c r="BO149" i="13"/>
  <c r="BE149" i="13"/>
  <c r="BF149" i="13"/>
  <c r="BM149" i="13"/>
  <c r="BH149" i="13"/>
  <c r="DK149" i="13" s="1"/>
  <c r="BJ149" i="13"/>
  <c r="BP149" i="13"/>
  <c r="BC149" i="13"/>
  <c r="BG149" i="13"/>
  <c r="BD149" i="13"/>
  <c r="DJ149" i="13" s="1"/>
  <c r="BN149" i="13"/>
  <c r="BK149" i="13"/>
  <c r="BI149" i="13"/>
  <c r="DL149" i="13" s="1"/>
  <c r="BJ65" i="12"/>
  <c r="BO65" i="12"/>
  <c r="BE65" i="12"/>
  <c r="BF65" i="12"/>
  <c r="BP65" i="12"/>
  <c r="BG65" i="12"/>
  <c r="BN65" i="12"/>
  <c r="BL65" i="12"/>
  <c r="DM65" i="12" s="1"/>
  <c r="BH65" i="12"/>
  <c r="DK65" i="12" s="1"/>
  <c r="BM65" i="12"/>
  <c r="BD65" i="12"/>
  <c r="DJ65" i="12" s="1"/>
  <c r="BK65" i="12"/>
  <c r="BI65" i="12"/>
  <c r="DL65" i="12" s="1"/>
  <c r="BC65" i="12"/>
  <c r="BE73" i="12"/>
  <c r="BG73" i="12"/>
  <c r="BD73" i="12"/>
  <c r="DJ73" i="12" s="1"/>
  <c r="BN73" i="12"/>
  <c r="BJ73" i="12"/>
  <c r="BH73" i="12"/>
  <c r="DK73" i="12" s="1"/>
  <c r="BP73" i="12"/>
  <c r="BO73" i="12"/>
  <c r="BC73" i="12"/>
  <c r="BF73" i="12"/>
  <c r="BI73" i="12"/>
  <c r="DL73" i="12" s="1"/>
  <c r="BL73" i="12"/>
  <c r="DM73" i="12" s="1"/>
  <c r="BM73" i="12"/>
  <c r="BK73" i="12"/>
  <c r="BE110" i="13"/>
  <c r="BM110" i="13"/>
  <c r="BI110" i="13"/>
  <c r="DL110" i="13" s="1"/>
  <c r="BF110" i="13"/>
  <c r="BJ110" i="13"/>
  <c r="BN110" i="13"/>
  <c r="BC110" i="13"/>
  <c r="BG110" i="13"/>
  <c r="BK110" i="13"/>
  <c r="BH110" i="13"/>
  <c r="DK110" i="13" s="1"/>
  <c r="BL110" i="13"/>
  <c r="DM110" i="13" s="1"/>
  <c r="BP110" i="13"/>
  <c r="BD110" i="13"/>
  <c r="DJ110" i="13" s="1"/>
  <c r="BO110" i="13"/>
  <c r="BG109" i="13"/>
  <c r="BC109" i="13"/>
  <c r="BO109" i="13"/>
  <c r="BK109" i="13"/>
  <c r="BH109" i="13"/>
  <c r="DK109" i="13" s="1"/>
  <c r="BP109" i="13"/>
  <c r="BE109" i="13"/>
  <c r="BI109" i="13"/>
  <c r="DL109" i="13" s="1"/>
  <c r="BM109" i="13"/>
  <c r="BJ109" i="13"/>
  <c r="BN109" i="13"/>
  <c r="BL109" i="13"/>
  <c r="DM109" i="13" s="1"/>
  <c r="BF109" i="13"/>
  <c r="BD109" i="13"/>
  <c r="DJ109" i="13" s="1"/>
  <c r="BF107" i="13"/>
  <c r="BH107" i="13"/>
  <c r="DK107" i="13" s="1"/>
  <c r="BN107" i="13"/>
  <c r="BM107" i="13"/>
  <c r="BI107" i="13"/>
  <c r="DL107" i="13" s="1"/>
  <c r="BO107" i="13"/>
  <c r="BC107" i="13"/>
  <c r="BP107" i="13"/>
  <c r="BK107" i="13"/>
  <c r="BE107" i="13"/>
  <c r="BG107" i="13"/>
  <c r="BJ107" i="13"/>
  <c r="BD107" i="13"/>
  <c r="DJ107" i="13" s="1"/>
  <c r="BL107" i="13"/>
  <c r="DM107" i="13" s="1"/>
  <c r="BZ95" i="12"/>
  <c r="DQ95" i="12" s="1"/>
  <c r="CB95" i="12"/>
  <c r="BW95" i="12"/>
  <c r="DP95" i="12" s="1"/>
  <c r="CA95" i="12"/>
  <c r="BV95" i="12"/>
  <c r="DO95" i="12" s="1"/>
  <c r="BR95" i="12"/>
  <c r="DN95" i="12" s="1"/>
  <c r="CD95" i="12"/>
  <c r="BQ95" i="12"/>
  <c r="BY95" i="12"/>
  <c r="BU95" i="12"/>
  <c r="BS95" i="12"/>
  <c r="CC95" i="12"/>
  <c r="BT95" i="12"/>
  <c r="BX95" i="12"/>
  <c r="CD92" i="12"/>
  <c r="BV92" i="12"/>
  <c r="DO92" i="12" s="1"/>
  <c r="CC92" i="12"/>
  <c r="BU92" i="12"/>
  <c r="CB92" i="12"/>
  <c r="BT92" i="12"/>
  <c r="CA92" i="12"/>
  <c r="BS92" i="12"/>
  <c r="BZ92" i="12"/>
  <c r="DQ92" i="12" s="1"/>
  <c r="BR92" i="12"/>
  <c r="DN92" i="12" s="1"/>
  <c r="BY92" i="12"/>
  <c r="BQ92" i="12"/>
  <c r="BX92" i="12"/>
  <c r="BW92" i="12"/>
  <c r="DP92" i="12" s="1"/>
  <c r="AG67" i="12"/>
  <c r="DD67" i="12" s="1"/>
  <c r="AC67" i="12"/>
  <c r="AA67" i="12"/>
  <c r="AE67" i="12"/>
  <c r="AF67" i="12"/>
  <c r="DC67" i="12" s="1"/>
  <c r="AK67" i="12"/>
  <c r="AM67" i="12"/>
  <c r="AI67" i="12"/>
  <c r="AN67" i="12"/>
  <c r="AL67" i="12"/>
  <c r="AJ67" i="12"/>
  <c r="DE67" i="12" s="1"/>
  <c r="AD67" i="12"/>
  <c r="AB67" i="12"/>
  <c r="DB67" i="12" s="1"/>
  <c r="AH67" i="12"/>
  <c r="AG69" i="12"/>
  <c r="DD69" i="12" s="1"/>
  <c r="AL69" i="12"/>
  <c r="AA69" i="12"/>
  <c r="AK69" i="12"/>
  <c r="AH69" i="12"/>
  <c r="AF69" i="12"/>
  <c r="DC69" i="12" s="1"/>
  <c r="AC69" i="12"/>
  <c r="AN69" i="12"/>
  <c r="AM69" i="12"/>
  <c r="AE69" i="12"/>
  <c r="AD69" i="12"/>
  <c r="AB69" i="12"/>
  <c r="DB69" i="12" s="1"/>
  <c r="AJ69" i="12"/>
  <c r="DE69" i="12" s="1"/>
  <c r="AI69" i="12"/>
  <c r="AE37" i="14"/>
  <c r="AM37" i="14"/>
  <c r="AD37" i="14"/>
  <c r="AF37" i="14"/>
  <c r="DC37" i="14" s="1"/>
  <c r="AG37" i="14"/>
  <c r="DD37" i="14" s="1"/>
  <c r="AH37" i="14"/>
  <c r="AA37" i="14"/>
  <c r="AK37" i="14"/>
  <c r="AL37" i="14"/>
  <c r="AN37" i="14"/>
  <c r="AI37" i="14"/>
  <c r="AB37" i="14"/>
  <c r="DB37" i="14" s="1"/>
  <c r="AC37" i="14"/>
  <c r="AJ37" i="14"/>
  <c r="DE37" i="14" s="1"/>
  <c r="AH104" i="13"/>
  <c r="AM104" i="13"/>
  <c r="AB104" i="13"/>
  <c r="DB104" i="13" s="1"/>
  <c r="AF104" i="13"/>
  <c r="DC104" i="13" s="1"/>
  <c r="AJ104" i="13"/>
  <c r="DE104" i="13" s="1"/>
  <c r="AN104" i="13"/>
  <c r="AC104" i="13"/>
  <c r="AG104" i="13"/>
  <c r="DD104" i="13" s="1"/>
  <c r="AK104" i="13"/>
  <c r="AA104" i="13"/>
  <c r="AD104" i="13"/>
  <c r="AI104" i="13"/>
  <c r="AE104" i="13"/>
  <c r="AL104" i="13"/>
  <c r="AH106" i="13"/>
  <c r="AL106" i="13"/>
  <c r="AA106" i="13"/>
  <c r="AE106" i="13"/>
  <c r="AI106" i="13"/>
  <c r="AM106" i="13"/>
  <c r="AB106" i="13"/>
  <c r="DB106" i="13" s="1"/>
  <c r="AG106" i="13"/>
  <c r="DD106" i="13" s="1"/>
  <c r="AC106" i="13"/>
  <c r="AF106" i="13"/>
  <c r="DC106" i="13" s="1"/>
  <c r="AK106" i="13"/>
  <c r="AN106" i="13"/>
  <c r="AJ106" i="13"/>
  <c r="DE106" i="13" s="1"/>
  <c r="AD106" i="13"/>
  <c r="AR70" i="12"/>
  <c r="AU70" i="12"/>
  <c r="DH70" i="12" s="1"/>
  <c r="AP70" i="12"/>
  <c r="DF70" i="12" s="1"/>
  <c r="BB70" i="12"/>
  <c r="AX70" i="12"/>
  <c r="DI70" i="12" s="1"/>
  <c r="BA70" i="12"/>
  <c r="AV70" i="12"/>
  <c r="AS70" i="12"/>
  <c r="AZ70" i="12"/>
  <c r="AW70" i="12"/>
  <c r="AY70" i="12"/>
  <c r="AT70" i="12"/>
  <c r="DG70" i="12" s="1"/>
  <c r="AQ70" i="12"/>
  <c r="AO70" i="12"/>
  <c r="AU68" i="12"/>
  <c r="DH68" i="12" s="1"/>
  <c r="BB68" i="12"/>
  <c r="BA68" i="12"/>
  <c r="AO68" i="12"/>
  <c r="AS68" i="12"/>
  <c r="AQ68" i="12"/>
  <c r="AW68" i="12"/>
  <c r="AT68" i="12"/>
  <c r="DG68" i="12" s="1"/>
  <c r="AY68" i="12"/>
  <c r="AZ68" i="12"/>
  <c r="AR68" i="12"/>
  <c r="AX68" i="12"/>
  <c r="DI68" i="12" s="1"/>
  <c r="AP68" i="12"/>
  <c r="DF68" i="12" s="1"/>
  <c r="AV68" i="12"/>
  <c r="AX109" i="13"/>
  <c r="DI109" i="13" s="1"/>
  <c r="BB109" i="13"/>
  <c r="AQ109" i="13"/>
  <c r="AV109" i="13"/>
  <c r="AY109" i="13"/>
  <c r="AU109" i="13"/>
  <c r="DH109" i="13" s="1"/>
  <c r="AR109" i="13"/>
  <c r="AZ109" i="13"/>
  <c r="AW109" i="13"/>
  <c r="BA109" i="13"/>
  <c r="AO109" i="13"/>
  <c r="AP109" i="13"/>
  <c r="DF109" i="13" s="1"/>
  <c r="AS109" i="13"/>
  <c r="AT109" i="13"/>
  <c r="DG109" i="13" s="1"/>
  <c r="AZ111" i="13"/>
  <c r="AO111" i="13"/>
  <c r="AS111" i="13"/>
  <c r="AW111" i="13"/>
  <c r="BA111" i="13"/>
  <c r="AP111" i="13"/>
  <c r="DF111" i="13" s="1"/>
  <c r="AT111" i="13"/>
  <c r="DG111" i="13" s="1"/>
  <c r="AX111" i="13"/>
  <c r="DI111" i="13" s="1"/>
  <c r="AU111" i="13"/>
  <c r="DH111" i="13" s="1"/>
  <c r="AQ111" i="13"/>
  <c r="AV111" i="13"/>
  <c r="BB111" i="13"/>
  <c r="AY111" i="13"/>
  <c r="AR111" i="13"/>
  <c r="E101" i="12"/>
  <c r="AP100" i="12"/>
  <c r="DF100" i="12" s="1"/>
  <c r="AW100" i="12"/>
  <c r="AZ100" i="12"/>
  <c r="BA100" i="12"/>
  <c r="AV100" i="12"/>
  <c r="AQ100" i="12"/>
  <c r="AT100" i="12"/>
  <c r="DG100" i="12" s="1"/>
  <c r="BB100" i="12"/>
  <c r="AR100" i="12"/>
  <c r="AS100" i="12"/>
  <c r="AX100" i="12"/>
  <c r="DI100" i="12" s="1"/>
  <c r="AO100" i="12"/>
  <c r="AY100" i="12"/>
  <c r="AU100" i="12"/>
  <c r="DH100" i="12" s="1"/>
  <c r="AR92" i="12"/>
  <c r="AY92" i="12"/>
  <c r="AZ92" i="12"/>
  <c r="AS92" i="12"/>
  <c r="BA92" i="12"/>
  <c r="AO92" i="12"/>
  <c r="AW92" i="12"/>
  <c r="AP92" i="12"/>
  <c r="DF92" i="12" s="1"/>
  <c r="AQ92" i="12"/>
  <c r="AX92" i="12"/>
  <c r="DI92" i="12" s="1"/>
  <c r="AT92" i="12"/>
  <c r="DG92" i="12" s="1"/>
  <c r="AU92" i="12"/>
  <c r="DH92" i="12" s="1"/>
  <c r="BB92" i="12"/>
  <c r="AV92" i="12"/>
  <c r="AU60" i="15"/>
  <c r="DH60" i="15" s="1"/>
  <c r="BB60" i="15"/>
  <c r="AT60" i="15"/>
  <c r="DG60" i="15" s="1"/>
  <c r="BA60" i="15"/>
  <c r="AS60" i="15"/>
  <c r="AO60" i="15"/>
  <c r="AZ60" i="15"/>
  <c r="AR60" i="15"/>
  <c r="AY60" i="15"/>
  <c r="AQ60" i="15"/>
  <c r="AX60" i="15"/>
  <c r="DI60" i="15" s="1"/>
  <c r="AP60" i="15"/>
  <c r="DF60" i="15" s="1"/>
  <c r="AV60" i="15"/>
  <c r="AW60" i="15"/>
  <c r="O67" i="12"/>
  <c r="W67" i="12"/>
  <c r="T67" i="12"/>
  <c r="P67" i="12"/>
  <c r="M67" i="12"/>
  <c r="X67" i="12"/>
  <c r="U67" i="12"/>
  <c r="Q67" i="12"/>
  <c r="N67" i="12"/>
  <c r="Y67" i="12"/>
  <c r="V67" i="12"/>
  <c r="R67" i="12"/>
  <c r="Z67" i="12"/>
  <c r="S67" i="12"/>
  <c r="Q72" i="12"/>
  <c r="W72" i="12"/>
  <c r="N72" i="12"/>
  <c r="O72" i="12"/>
  <c r="P72" i="12"/>
  <c r="V72" i="12"/>
  <c r="X72" i="12"/>
  <c r="R72" i="12"/>
  <c r="U72" i="12"/>
  <c r="M72" i="12"/>
  <c r="T72" i="12"/>
  <c r="S72" i="12"/>
  <c r="Y72" i="12"/>
  <c r="Z72" i="12"/>
  <c r="Z104" i="13"/>
  <c r="P104" i="13"/>
  <c r="T104" i="13"/>
  <c r="X104" i="13"/>
  <c r="M104" i="13"/>
  <c r="Q104" i="13"/>
  <c r="U104" i="13"/>
  <c r="Y104" i="13"/>
  <c r="N104" i="13"/>
  <c r="S104" i="13"/>
  <c r="O104" i="13"/>
  <c r="V104" i="13"/>
  <c r="W104" i="13"/>
  <c r="R104" i="13"/>
  <c r="R41" i="14"/>
  <c r="N41" i="14"/>
  <c r="M41" i="14"/>
  <c r="V41" i="14"/>
  <c r="Y41" i="14"/>
  <c r="U41" i="14"/>
  <c r="Z41" i="14"/>
  <c r="O41" i="14"/>
  <c r="W41" i="14"/>
  <c r="P41" i="14"/>
  <c r="X41" i="14"/>
  <c r="Q41" i="14"/>
  <c r="T41" i="14"/>
  <c r="S41" i="14"/>
  <c r="BP99" i="12"/>
  <c r="BN99" i="12"/>
  <c r="BJ99" i="12"/>
  <c r="BI99" i="12"/>
  <c r="DL99" i="12" s="1"/>
  <c r="BH99" i="12"/>
  <c r="DK99" i="12" s="1"/>
  <c r="BK99" i="12"/>
  <c r="BF99" i="12"/>
  <c r="BG99" i="12"/>
  <c r="BE99" i="12"/>
  <c r="BO99" i="12"/>
  <c r="BM99" i="12"/>
  <c r="BD99" i="12"/>
  <c r="DJ99" i="12" s="1"/>
  <c r="BL99" i="12"/>
  <c r="DM99" i="12" s="1"/>
  <c r="BC99" i="12"/>
  <c r="BN98" i="12"/>
  <c r="BG98" i="12"/>
  <c r="BH98" i="12"/>
  <c r="DK98" i="12" s="1"/>
  <c r="BI98" i="12"/>
  <c r="DL98" i="12" s="1"/>
  <c r="BF98" i="12"/>
  <c r="BP98" i="12"/>
  <c r="BJ98" i="12"/>
  <c r="BO98" i="12"/>
  <c r="BC98" i="12"/>
  <c r="BK98" i="12"/>
  <c r="BD98" i="12"/>
  <c r="DJ98" i="12" s="1"/>
  <c r="BE98" i="12"/>
  <c r="BL98" i="12"/>
  <c r="DM98" i="12" s="1"/>
  <c r="BM98" i="12"/>
  <c r="BI156" i="13"/>
  <c r="DL156" i="13" s="1"/>
  <c r="BM156" i="13"/>
  <c r="BJ156" i="13"/>
  <c r="BF156" i="13"/>
  <c r="BC156" i="13"/>
  <c r="BN156" i="13"/>
  <c r="BK156" i="13"/>
  <c r="BG156" i="13"/>
  <c r="BL156" i="13"/>
  <c r="DM156" i="13" s="1"/>
  <c r="BP156" i="13"/>
  <c r="BH156" i="13"/>
  <c r="DK156" i="13" s="1"/>
  <c r="BD156" i="13"/>
  <c r="DJ156" i="13" s="1"/>
  <c r="BE156" i="13"/>
  <c r="BO156" i="13"/>
  <c r="BO83" i="14"/>
  <c r="BD83" i="14"/>
  <c r="DJ83" i="14" s="1"/>
  <c r="BG83" i="14"/>
  <c r="BK83" i="14"/>
  <c r="BF83" i="14"/>
  <c r="BJ83" i="14"/>
  <c r="BM83" i="14"/>
  <c r="BP83" i="14"/>
  <c r="BI83" i="14"/>
  <c r="DL83" i="14" s="1"/>
  <c r="BN83" i="14"/>
  <c r="BE83" i="14"/>
  <c r="BL83" i="14"/>
  <c r="DM83" i="14" s="1"/>
  <c r="BC83" i="14"/>
  <c r="BH83" i="14"/>
  <c r="DK83" i="14" s="1"/>
  <c r="BD153" i="13"/>
  <c r="DJ153" i="13" s="1"/>
  <c r="BH153" i="13"/>
  <c r="DK153" i="13" s="1"/>
  <c r="BL153" i="13"/>
  <c r="DM153" i="13" s="1"/>
  <c r="BP153" i="13"/>
  <c r="BE153" i="13"/>
  <c r="BI153" i="13"/>
  <c r="DL153" i="13" s="1"/>
  <c r="BM153" i="13"/>
  <c r="BJ153" i="13"/>
  <c r="BF153" i="13"/>
  <c r="BN153" i="13"/>
  <c r="BK153" i="13"/>
  <c r="BO153" i="13"/>
  <c r="BC153" i="13"/>
  <c r="BG153" i="13"/>
  <c r="BG71" i="12"/>
  <c r="BN71" i="12"/>
  <c r="BL71" i="12"/>
  <c r="DM71" i="12" s="1"/>
  <c r="BF71" i="12"/>
  <c r="BD71" i="12"/>
  <c r="DJ71" i="12" s="1"/>
  <c r="BM71" i="12"/>
  <c r="BE71" i="12"/>
  <c r="BJ71" i="12"/>
  <c r="BI71" i="12"/>
  <c r="DL71" i="12" s="1"/>
  <c r="BP71" i="12"/>
  <c r="BH71" i="12"/>
  <c r="DK71" i="12" s="1"/>
  <c r="BK71" i="12"/>
  <c r="BC71" i="12"/>
  <c r="BO71" i="12"/>
  <c r="BD68" i="12"/>
  <c r="DJ68" i="12" s="1"/>
  <c r="BN68" i="12"/>
  <c r="BK68" i="12"/>
  <c r="BJ68" i="12"/>
  <c r="BO68" i="12"/>
  <c r="BE68" i="12"/>
  <c r="BF68" i="12"/>
  <c r="BI68" i="12"/>
  <c r="DL68" i="12" s="1"/>
  <c r="BP68" i="12"/>
  <c r="BM68" i="12"/>
  <c r="BL68" i="12"/>
  <c r="DM68" i="12" s="1"/>
  <c r="BG68" i="12"/>
  <c r="BC68" i="12"/>
  <c r="BH68" i="12"/>
  <c r="DK68" i="12" s="1"/>
  <c r="BK37" i="14"/>
  <c r="BF37" i="14"/>
  <c r="BE37" i="14"/>
  <c r="BN37" i="14"/>
  <c r="BG37" i="14"/>
  <c r="BM37" i="14"/>
  <c r="BO37" i="14"/>
  <c r="BH37" i="14"/>
  <c r="DK37" i="14" s="1"/>
  <c r="BI37" i="14"/>
  <c r="DL37" i="14" s="1"/>
  <c r="BD37" i="14"/>
  <c r="DJ37" i="14" s="1"/>
  <c r="BL37" i="14"/>
  <c r="DM37" i="14" s="1"/>
  <c r="BC37" i="14"/>
  <c r="BJ37" i="14"/>
  <c r="BP37" i="14"/>
  <c r="BI113" i="13"/>
  <c r="DL113" i="13" s="1"/>
  <c r="BE113" i="13"/>
  <c r="BJ113" i="13"/>
  <c r="BF113" i="13"/>
  <c r="BC113" i="13"/>
  <c r="BM113" i="13"/>
  <c r="BK113" i="13"/>
  <c r="BN113" i="13"/>
  <c r="BD113" i="13"/>
  <c r="DJ113" i="13" s="1"/>
  <c r="BL113" i="13"/>
  <c r="DM113" i="13" s="1"/>
  <c r="BP113" i="13"/>
  <c r="BO113" i="13"/>
  <c r="BG113" i="13"/>
  <c r="BH113" i="13"/>
  <c r="DK113" i="13" s="1"/>
  <c r="BE111" i="13"/>
  <c r="BJ111" i="13"/>
  <c r="BM111" i="13"/>
  <c r="BK111" i="13"/>
  <c r="BF111" i="13"/>
  <c r="BL111" i="13"/>
  <c r="DM111" i="13" s="1"/>
  <c r="BN111" i="13"/>
  <c r="BP111" i="13"/>
  <c r="BG111" i="13"/>
  <c r="BD111" i="13"/>
  <c r="DJ111" i="13" s="1"/>
  <c r="BO111" i="13"/>
  <c r="BC111" i="13"/>
  <c r="BH111" i="13"/>
  <c r="DK111" i="13" s="1"/>
  <c r="BI111" i="13"/>
  <c r="DL111" i="13" s="1"/>
  <c r="I56" i="8"/>
  <c r="H73" i="12"/>
  <c r="H67" i="12"/>
  <c r="H68" i="12"/>
  <c r="H66" i="12"/>
  <c r="H72" i="12"/>
  <c r="H69" i="12"/>
  <c r="H71" i="12"/>
  <c r="H70" i="12"/>
  <c r="H65" i="12"/>
  <c r="H63" i="12"/>
  <c r="H62" i="12"/>
  <c r="H64" i="12"/>
  <c r="H74" i="12"/>
  <c r="BZ91" i="12"/>
  <c r="DQ91" i="12" s="1"/>
  <c r="BV91" i="12"/>
  <c r="DO91" i="12" s="1"/>
  <c r="BW91" i="12"/>
  <c r="DP91" i="12" s="1"/>
  <c r="BS91" i="12"/>
  <c r="CD91" i="12"/>
  <c r="BQ91" i="12"/>
  <c r="BR91" i="12"/>
  <c r="DN91" i="12" s="1"/>
  <c r="BY91" i="12"/>
  <c r="BU91" i="12"/>
  <c r="CC91" i="12"/>
  <c r="CA91" i="12"/>
  <c r="BT91" i="12"/>
  <c r="CB91" i="12"/>
  <c r="BX91" i="12"/>
  <c r="CA89" i="12"/>
  <c r="BS89" i="12"/>
  <c r="BZ89" i="12"/>
  <c r="DQ89" i="12" s="1"/>
  <c r="BQ89" i="12"/>
  <c r="BY89" i="12"/>
  <c r="BR89" i="12"/>
  <c r="DN89" i="12" s="1"/>
  <c r="BT89" i="12"/>
  <c r="BU89" i="12"/>
  <c r="BV89" i="12"/>
  <c r="DO89" i="12" s="1"/>
  <c r="CB89" i="12"/>
  <c r="CC89" i="12"/>
  <c r="CD89" i="12"/>
  <c r="BW89" i="12"/>
  <c r="DP89" i="12" s="1"/>
  <c r="BX89" i="12"/>
  <c r="BV147" i="13"/>
  <c r="DO147" i="13" s="1"/>
  <c r="CD147" i="13"/>
  <c r="BS147" i="13"/>
  <c r="BW147" i="13"/>
  <c r="DP147" i="13" s="1"/>
  <c r="CA147" i="13"/>
  <c r="BX147" i="13"/>
  <c r="BT147" i="13"/>
  <c r="BR147" i="13"/>
  <c r="DN147" i="13" s="1"/>
  <c r="CB147" i="13"/>
  <c r="BZ147" i="13"/>
  <c r="DQ147" i="13" s="1"/>
  <c r="CC147" i="13"/>
  <c r="BY147" i="13"/>
  <c r="BU147" i="13"/>
  <c r="BQ147" i="13"/>
  <c r="AB63" i="12"/>
  <c r="DB63" i="12" s="1"/>
  <c r="AK63" i="12"/>
  <c r="AC63" i="12"/>
  <c r="AN63" i="12"/>
  <c r="AM63" i="12"/>
  <c r="AF63" i="12"/>
  <c r="DC63" i="12" s="1"/>
  <c r="AE63" i="12"/>
  <c r="AH63" i="12"/>
  <c r="AG63" i="12"/>
  <c r="DD63" i="12" s="1"/>
  <c r="AD63" i="12"/>
  <c r="AJ63" i="12"/>
  <c r="DE63" i="12" s="1"/>
  <c r="AA63" i="12"/>
  <c r="AI63" i="12"/>
  <c r="AL63" i="12"/>
  <c r="AG72" i="12"/>
  <c r="DD72" i="12" s="1"/>
  <c r="AN72" i="12"/>
  <c r="AF72" i="12"/>
  <c r="DC72" i="12" s="1"/>
  <c r="AL72" i="12"/>
  <c r="AD72" i="12"/>
  <c r="AM72" i="12"/>
  <c r="AE72" i="12"/>
  <c r="AK72" i="12"/>
  <c r="AC72" i="12"/>
  <c r="AJ72" i="12"/>
  <c r="DE72" i="12" s="1"/>
  <c r="AI72" i="12"/>
  <c r="AB72" i="12"/>
  <c r="DB72" i="12" s="1"/>
  <c r="AA72" i="12"/>
  <c r="AH72" i="12"/>
  <c r="AM41" i="14"/>
  <c r="AJ41" i="14"/>
  <c r="DE41" i="14" s="1"/>
  <c r="AG41" i="14"/>
  <c r="DD41" i="14" s="1"/>
  <c r="AE41" i="14"/>
  <c r="AL41" i="14"/>
  <c r="AH41" i="14"/>
  <c r="AB41" i="14"/>
  <c r="DB41" i="14" s="1"/>
  <c r="AA41" i="14"/>
  <c r="AC41" i="14"/>
  <c r="AN41" i="14"/>
  <c r="AD41" i="14"/>
  <c r="AI41" i="14"/>
  <c r="AK41" i="14"/>
  <c r="AF41" i="14"/>
  <c r="DC41" i="14" s="1"/>
  <c r="AA108" i="13"/>
  <c r="AL108" i="13"/>
  <c r="AI108" i="13"/>
  <c r="AD108" i="13"/>
  <c r="AE108" i="13"/>
  <c r="AN108" i="13"/>
  <c r="AF108" i="13"/>
  <c r="DC108" i="13" s="1"/>
  <c r="AC108" i="13"/>
  <c r="AH108" i="13"/>
  <c r="AM108" i="13"/>
  <c r="AK108" i="13"/>
  <c r="AG108" i="13"/>
  <c r="DD108" i="13" s="1"/>
  <c r="AJ108" i="13"/>
  <c r="DE108" i="13" s="1"/>
  <c r="AB108" i="13"/>
  <c r="DB108" i="13" s="1"/>
  <c r="AL107" i="13"/>
  <c r="AB107" i="13"/>
  <c r="DB107" i="13" s="1"/>
  <c r="AE107" i="13"/>
  <c r="AI107" i="13"/>
  <c r="AM107" i="13"/>
  <c r="AJ107" i="13"/>
  <c r="DE107" i="13" s="1"/>
  <c r="AF107" i="13"/>
  <c r="DC107" i="13" s="1"/>
  <c r="AN107" i="13"/>
  <c r="AC107" i="13"/>
  <c r="AG107" i="13"/>
  <c r="DD107" i="13" s="1"/>
  <c r="AK107" i="13"/>
  <c r="AD107" i="13"/>
  <c r="AH107" i="13"/>
  <c r="AA107" i="13"/>
  <c r="AE110" i="13"/>
  <c r="AI110" i="13"/>
  <c r="AM110" i="13"/>
  <c r="AJ110" i="13"/>
  <c r="DE110" i="13" s="1"/>
  <c r="AF110" i="13"/>
  <c r="DC110" i="13" s="1"/>
  <c r="AN110" i="13"/>
  <c r="AC110" i="13"/>
  <c r="AG110" i="13"/>
  <c r="DD110" i="13" s="1"/>
  <c r="AK110" i="13"/>
  <c r="AH110" i="13"/>
  <c r="AL110" i="13"/>
  <c r="AB110" i="13"/>
  <c r="DB110" i="13" s="1"/>
  <c r="AD110" i="13"/>
  <c r="AA110" i="13"/>
  <c r="AS69" i="12"/>
  <c r="AU69" i="12"/>
  <c r="DH69" i="12" s="1"/>
  <c r="BB69" i="12"/>
  <c r="AO69" i="12"/>
  <c r="AQ69" i="12"/>
  <c r="AZ69" i="12"/>
  <c r="AT69" i="12"/>
  <c r="DG69" i="12" s="1"/>
  <c r="AY69" i="12"/>
  <c r="AR69" i="12"/>
  <c r="AW69" i="12"/>
  <c r="BA69" i="12"/>
  <c r="AX69" i="12"/>
  <c r="DI69" i="12" s="1"/>
  <c r="AP69" i="12"/>
  <c r="DF69" i="12" s="1"/>
  <c r="AV69" i="12"/>
  <c r="AS65" i="12"/>
  <c r="AZ65" i="12"/>
  <c r="AU65" i="12"/>
  <c r="DH65" i="12" s="1"/>
  <c r="AP65" i="12"/>
  <c r="DF65" i="12" s="1"/>
  <c r="AR65" i="12"/>
  <c r="AV65" i="12"/>
  <c r="AX65" i="12"/>
  <c r="DI65" i="12" s="1"/>
  <c r="AT65" i="12"/>
  <c r="DG65" i="12" s="1"/>
  <c r="BA65" i="12"/>
  <c r="BB65" i="12"/>
  <c r="AY65" i="12"/>
  <c r="AW65" i="12"/>
  <c r="AQ65" i="12"/>
  <c r="AO65" i="12"/>
  <c r="AV39" i="14"/>
  <c r="AU39" i="14"/>
  <c r="DH39" i="14" s="1"/>
  <c r="AR39" i="14"/>
  <c r="AT39" i="14"/>
  <c r="DG39" i="14" s="1"/>
  <c r="AO39" i="14"/>
  <c r="AZ39" i="14"/>
  <c r="AW39" i="14"/>
  <c r="AP39" i="14"/>
  <c r="DF39" i="14" s="1"/>
  <c r="AX39" i="14"/>
  <c r="DI39" i="14" s="1"/>
  <c r="AS39" i="14"/>
  <c r="AQ39" i="14"/>
  <c r="AY39" i="14"/>
  <c r="BB39" i="14"/>
  <c r="BA39" i="14"/>
  <c r="AT104" i="13"/>
  <c r="DG104" i="13" s="1"/>
  <c r="BB104" i="13"/>
  <c r="AP104" i="13"/>
  <c r="DF104" i="13" s="1"/>
  <c r="AU104" i="13"/>
  <c r="DH104" i="13" s="1"/>
  <c r="AX104" i="13"/>
  <c r="DI104" i="13" s="1"/>
  <c r="AV104" i="13"/>
  <c r="AZ104" i="13"/>
  <c r="AW104" i="13"/>
  <c r="AS104" i="13"/>
  <c r="AQ104" i="13"/>
  <c r="AO104" i="13"/>
  <c r="AY104" i="13"/>
  <c r="AR104" i="13"/>
  <c r="BA104" i="13"/>
  <c r="AZ115" i="13"/>
  <c r="AV115" i="13"/>
  <c r="AS115" i="13"/>
  <c r="BA115" i="13"/>
  <c r="AP115" i="13"/>
  <c r="DF115" i="13" s="1"/>
  <c r="AT115" i="13"/>
  <c r="DG115" i="13" s="1"/>
  <c r="AX115" i="13"/>
  <c r="DI115" i="13" s="1"/>
  <c r="BB115" i="13"/>
  <c r="AW115" i="13"/>
  <c r="AQ115" i="13"/>
  <c r="AO115" i="13"/>
  <c r="AY115" i="13"/>
  <c r="AR115" i="13"/>
  <c r="AU115" i="13"/>
  <c r="DH115" i="13" s="1"/>
  <c r="BA96" i="12"/>
  <c r="BB96" i="12"/>
  <c r="AT96" i="12"/>
  <c r="DG96" i="12" s="1"/>
  <c r="AV96" i="12"/>
  <c r="AW96" i="12"/>
  <c r="AP96" i="12"/>
  <c r="DF96" i="12" s="1"/>
  <c r="AX96" i="12"/>
  <c r="DI96" i="12" s="1"/>
  <c r="AU96" i="12"/>
  <c r="DH96" i="12" s="1"/>
  <c r="AQ96" i="12"/>
  <c r="AS96" i="12"/>
  <c r="AY96" i="12"/>
  <c r="AR96" i="12"/>
  <c r="AO96" i="12"/>
  <c r="AZ96" i="12"/>
  <c r="AX93" i="12"/>
  <c r="DI93" i="12" s="1"/>
  <c r="BB93" i="12"/>
  <c r="AP93" i="12"/>
  <c r="DF93" i="12" s="1"/>
  <c r="AQ93" i="12"/>
  <c r="AZ93" i="12"/>
  <c r="AV93" i="12"/>
  <c r="AO93" i="12"/>
  <c r="AY93" i="12"/>
  <c r="AW93" i="12"/>
  <c r="AS93" i="12"/>
  <c r="AU93" i="12"/>
  <c r="DH93" i="12" s="1"/>
  <c r="BA93" i="12"/>
  <c r="AR93" i="12"/>
  <c r="AT93" i="12"/>
  <c r="DG93" i="12" s="1"/>
  <c r="AU147" i="13"/>
  <c r="DH147" i="13" s="1"/>
  <c r="AR147" i="13"/>
  <c r="AV147" i="13"/>
  <c r="AT147" i="13"/>
  <c r="DG147" i="13" s="1"/>
  <c r="AO147" i="13"/>
  <c r="BB147" i="13"/>
  <c r="AW147" i="13"/>
  <c r="BA147" i="13"/>
  <c r="AP147" i="13"/>
  <c r="DF147" i="13" s="1"/>
  <c r="AS147" i="13"/>
  <c r="AQ147" i="13"/>
  <c r="AY147" i="13"/>
  <c r="AX147" i="13"/>
  <c r="DI147" i="13" s="1"/>
  <c r="AZ147" i="13"/>
  <c r="P73" i="12"/>
  <c r="M73" i="12"/>
  <c r="V73" i="12"/>
  <c r="W73" i="12"/>
  <c r="N73" i="12"/>
  <c r="O73" i="12"/>
  <c r="U73" i="12"/>
  <c r="T73" i="12"/>
  <c r="Z73" i="12"/>
  <c r="S73" i="12"/>
  <c r="R73" i="12"/>
  <c r="Y73" i="12"/>
  <c r="Q73" i="12"/>
  <c r="X73" i="12"/>
  <c r="M66" i="12"/>
  <c r="P66" i="12"/>
  <c r="T66" i="12"/>
  <c r="S66" i="12"/>
  <c r="W66" i="12"/>
  <c r="Y66" i="12"/>
  <c r="Q66" i="12"/>
  <c r="Z66" i="12"/>
  <c r="O66" i="12"/>
  <c r="R66" i="12"/>
  <c r="X66" i="12"/>
  <c r="N66" i="12"/>
  <c r="U66" i="12"/>
  <c r="V66" i="12"/>
  <c r="Z112" i="13"/>
  <c r="R112" i="13"/>
  <c r="W112" i="13"/>
  <c r="O112" i="13"/>
  <c r="S112" i="13"/>
  <c r="Q112" i="13"/>
  <c r="V112" i="13"/>
  <c r="M112" i="13"/>
  <c r="U112" i="13"/>
  <c r="Y112" i="13"/>
  <c r="T112" i="13"/>
  <c r="P112" i="13"/>
  <c r="N112" i="13"/>
  <c r="X112" i="13"/>
  <c r="BL95" i="12"/>
  <c r="DM95" i="12" s="1"/>
  <c r="BK95" i="12"/>
  <c r="BJ95" i="12"/>
  <c r="BD95" i="12"/>
  <c r="DJ95" i="12" s="1"/>
  <c r="BC95" i="12"/>
  <c r="BP95" i="12"/>
  <c r="BG95" i="12"/>
  <c r="BI95" i="12"/>
  <c r="DL95" i="12" s="1"/>
  <c r="BO95" i="12"/>
  <c r="BF95" i="12"/>
  <c r="BN95" i="12"/>
  <c r="BE95" i="12"/>
  <c r="BM95" i="12"/>
  <c r="BH95" i="12"/>
  <c r="DK95" i="12" s="1"/>
  <c r="BJ90" i="12"/>
  <c r="BM90" i="12"/>
  <c r="BF90" i="12"/>
  <c r="BN90" i="12"/>
  <c r="BG90" i="12"/>
  <c r="BC90" i="12"/>
  <c r="BO90" i="12"/>
  <c r="BH90" i="12"/>
  <c r="DK90" i="12" s="1"/>
  <c r="BP90" i="12"/>
  <c r="BI90" i="12"/>
  <c r="DL90" i="12" s="1"/>
  <c r="BK90" i="12"/>
  <c r="BD90" i="12"/>
  <c r="DJ90" i="12" s="1"/>
  <c r="BL90" i="12"/>
  <c r="DM90" i="12" s="1"/>
  <c r="BE90" i="12"/>
  <c r="BK85" i="14"/>
  <c r="BO85" i="14"/>
  <c r="BC85" i="14"/>
  <c r="BG85" i="14"/>
  <c r="BE85" i="14"/>
  <c r="BN85" i="14"/>
  <c r="BJ85" i="14"/>
  <c r="BF85" i="14"/>
  <c r="BI85" i="14"/>
  <c r="DL85" i="14" s="1"/>
  <c r="BL85" i="14"/>
  <c r="DM85" i="14" s="1"/>
  <c r="BM85" i="14"/>
  <c r="BD85" i="14"/>
  <c r="DJ85" i="14" s="1"/>
  <c r="BH85" i="14"/>
  <c r="DK85" i="14" s="1"/>
  <c r="BP85" i="14"/>
  <c r="BK60" i="15"/>
  <c r="BC60" i="15"/>
  <c r="BJ60" i="15"/>
  <c r="BE60" i="15"/>
  <c r="BI60" i="15"/>
  <c r="DL60" i="15" s="1"/>
  <c r="BP60" i="15"/>
  <c r="BH60" i="15"/>
  <c r="DK60" i="15" s="1"/>
  <c r="BM60" i="15"/>
  <c r="BO60" i="15"/>
  <c r="BG60" i="15"/>
  <c r="BN60" i="15"/>
  <c r="BF60" i="15"/>
  <c r="BL60" i="15"/>
  <c r="DM60" i="15" s="1"/>
  <c r="BD60" i="15"/>
  <c r="DJ60" i="15" s="1"/>
  <c r="BO157" i="13"/>
  <c r="BH157" i="13"/>
  <c r="DK157" i="13" s="1"/>
  <c r="BE157" i="13"/>
  <c r="BP157" i="13"/>
  <c r="BM157" i="13"/>
  <c r="BI157" i="13"/>
  <c r="DL157" i="13" s="1"/>
  <c r="BF157" i="13"/>
  <c r="BJ157" i="13"/>
  <c r="BN157" i="13"/>
  <c r="BC157" i="13"/>
  <c r="BG157" i="13"/>
  <c r="BD157" i="13"/>
  <c r="DJ157" i="13" s="1"/>
  <c r="BL157" i="13"/>
  <c r="DM157" i="13" s="1"/>
  <c r="BK157" i="13"/>
  <c r="BH66" i="12"/>
  <c r="DK66" i="12" s="1"/>
  <c r="BP66" i="12"/>
  <c r="BI66" i="12"/>
  <c r="DL66" i="12" s="1"/>
  <c r="BM66" i="12"/>
  <c r="BJ66" i="12"/>
  <c r="BF66" i="12"/>
  <c r="BC66" i="12"/>
  <c r="BN66" i="12"/>
  <c r="BK66" i="12"/>
  <c r="BG66" i="12"/>
  <c r="BD66" i="12"/>
  <c r="DJ66" i="12" s="1"/>
  <c r="BO66" i="12"/>
  <c r="BL66" i="12"/>
  <c r="DM66" i="12" s="1"/>
  <c r="BE66" i="12"/>
  <c r="BJ70" i="12"/>
  <c r="BG70" i="12"/>
  <c r="BL70" i="12"/>
  <c r="DM70" i="12" s="1"/>
  <c r="BI70" i="12"/>
  <c r="DL70" i="12" s="1"/>
  <c r="BF70" i="12"/>
  <c r="BH70" i="12"/>
  <c r="DK70" i="12" s="1"/>
  <c r="BD70" i="12"/>
  <c r="DJ70" i="12" s="1"/>
  <c r="BO70" i="12"/>
  <c r="BP70" i="12"/>
  <c r="BC70" i="12"/>
  <c r="BK70" i="12"/>
  <c r="BE70" i="12"/>
  <c r="BM70" i="12"/>
  <c r="BN70" i="12"/>
  <c r="BE41" i="14"/>
  <c r="BN41" i="14"/>
  <c r="BM41" i="14"/>
  <c r="BG41" i="14"/>
  <c r="BF41" i="14"/>
  <c r="BD41" i="14"/>
  <c r="DJ41" i="14" s="1"/>
  <c r="BO41" i="14"/>
  <c r="BI41" i="14"/>
  <c r="DL41" i="14" s="1"/>
  <c r="BL41" i="14"/>
  <c r="DM41" i="14" s="1"/>
  <c r="BC41" i="14"/>
  <c r="BH41" i="14"/>
  <c r="DK41" i="14" s="1"/>
  <c r="BK41" i="14"/>
  <c r="BJ41" i="14"/>
  <c r="BP41" i="14"/>
  <c r="BG40" i="14"/>
  <c r="BM40" i="14"/>
  <c r="BO40" i="14"/>
  <c r="BJ40" i="14"/>
  <c r="BE40" i="14"/>
  <c r="BI40" i="14"/>
  <c r="DL40" i="14" s="1"/>
  <c r="BK40" i="14"/>
  <c r="BD40" i="14"/>
  <c r="DJ40" i="14" s="1"/>
  <c r="BC40" i="14"/>
  <c r="BL40" i="14"/>
  <c r="DM40" i="14" s="1"/>
  <c r="BF40" i="14"/>
  <c r="BP40" i="14"/>
  <c r="BN40" i="14"/>
  <c r="BH40" i="14"/>
  <c r="DK40" i="14" s="1"/>
  <c r="BP38" i="14"/>
  <c r="BH38" i="14"/>
  <c r="DK38" i="14" s="1"/>
  <c r="BK38" i="14"/>
  <c r="BD38" i="14"/>
  <c r="DJ38" i="14" s="1"/>
  <c r="BJ38" i="14"/>
  <c r="BO38" i="14"/>
  <c r="BG38" i="14"/>
  <c r="BI38" i="14"/>
  <c r="DL38" i="14" s="1"/>
  <c r="BM38" i="14"/>
  <c r="BE38" i="14"/>
  <c r="BL38" i="14"/>
  <c r="DM38" i="14" s="1"/>
  <c r="BF38" i="14"/>
  <c r="BC38" i="14"/>
  <c r="BN38" i="14"/>
  <c r="BN115" i="13"/>
  <c r="BM115" i="13"/>
  <c r="BG115" i="13"/>
  <c r="BC115" i="13"/>
  <c r="BD115" i="13"/>
  <c r="DJ115" i="13" s="1"/>
  <c r="BO115" i="13"/>
  <c r="BH115" i="13"/>
  <c r="DK115" i="13" s="1"/>
  <c r="BK115" i="13"/>
  <c r="BL115" i="13"/>
  <c r="DM115" i="13" s="1"/>
  <c r="BP115" i="13"/>
  <c r="BI115" i="13"/>
  <c r="DL115" i="13" s="1"/>
  <c r="BE115" i="13"/>
  <c r="BF115" i="13"/>
  <c r="BJ115" i="13"/>
  <c r="CD99" i="12"/>
  <c r="BT99" i="12"/>
  <c r="BW99" i="12"/>
  <c r="DP99" i="12" s="1"/>
  <c r="BX99" i="12"/>
  <c r="CB99" i="12"/>
  <c r="BY99" i="12"/>
  <c r="BS99" i="12"/>
  <c r="CA99" i="12"/>
  <c r="BV99" i="12"/>
  <c r="DO99" i="12" s="1"/>
  <c r="BR99" i="12"/>
  <c r="DN99" i="12" s="1"/>
  <c r="BZ99" i="12"/>
  <c r="DQ99" i="12" s="1"/>
  <c r="BU99" i="12"/>
  <c r="BQ99" i="12"/>
  <c r="CC99" i="12"/>
  <c r="CB98" i="12"/>
  <c r="BX98" i="12"/>
  <c r="BV98" i="12"/>
  <c r="DO98" i="12" s="1"/>
  <c r="BW98" i="12"/>
  <c r="DP98" i="12" s="1"/>
  <c r="BQ98" i="12"/>
  <c r="BZ98" i="12"/>
  <c r="DQ98" i="12" s="1"/>
  <c r="CD98" i="12"/>
  <c r="BY98" i="12"/>
  <c r="BT98" i="12"/>
  <c r="BS98" i="12"/>
  <c r="CA98" i="12"/>
  <c r="BU98" i="12"/>
  <c r="CC98" i="12"/>
  <c r="BR98" i="12"/>
  <c r="DN98" i="12" s="1"/>
  <c r="BR149" i="13"/>
  <c r="DN149" i="13" s="1"/>
  <c r="BX149" i="13"/>
  <c r="BZ149" i="13"/>
  <c r="DQ149" i="13" s="1"/>
  <c r="CD149" i="13"/>
  <c r="BS149" i="13"/>
  <c r="BQ149" i="13"/>
  <c r="CA149" i="13"/>
  <c r="BV149" i="13"/>
  <c r="DO149" i="13" s="1"/>
  <c r="BT149" i="13"/>
  <c r="BW149" i="13"/>
  <c r="DP149" i="13" s="1"/>
  <c r="CB149" i="13"/>
  <c r="BY149" i="13"/>
  <c r="CC149" i="13"/>
  <c r="BU149" i="13"/>
  <c r="BQ148" i="13"/>
  <c r="CA148" i="13"/>
  <c r="BY148" i="13"/>
  <c r="CB148" i="13"/>
  <c r="BR148" i="13"/>
  <c r="DN148" i="13" s="1"/>
  <c r="BZ148" i="13"/>
  <c r="DQ148" i="13" s="1"/>
  <c r="BV148" i="13"/>
  <c r="DO148" i="13" s="1"/>
  <c r="BS148" i="13"/>
  <c r="CD148" i="13"/>
  <c r="BU148" i="13"/>
  <c r="BX148" i="13"/>
  <c r="BT148" i="13"/>
  <c r="BW148" i="13"/>
  <c r="DP148" i="13" s="1"/>
  <c r="CC148" i="13"/>
  <c r="BQ151" i="13"/>
  <c r="CB151" i="13"/>
  <c r="BY151" i="13"/>
  <c r="BT151" i="13"/>
  <c r="BW151" i="13"/>
  <c r="DP151" i="13" s="1"/>
  <c r="CC151" i="13"/>
  <c r="BX151" i="13"/>
  <c r="BU151" i="13"/>
  <c r="BZ151" i="13"/>
  <c r="DQ151" i="13" s="1"/>
  <c r="CD151" i="13"/>
  <c r="BR151" i="13"/>
  <c r="DN151" i="13" s="1"/>
  <c r="BV151" i="13"/>
  <c r="DO151" i="13" s="1"/>
  <c r="BS151" i="13"/>
  <c r="CA151" i="13"/>
  <c r="BX146" i="13"/>
  <c r="BW146" i="13"/>
  <c r="DP146" i="13" s="1"/>
  <c r="BS146" i="13"/>
  <c r="BY146" i="13"/>
  <c r="CB146" i="13"/>
  <c r="BR146" i="13"/>
  <c r="DN146" i="13" s="1"/>
  <c r="BT146" i="13"/>
  <c r="CA146" i="13"/>
  <c r="CC146" i="13"/>
  <c r="BQ146" i="13"/>
  <c r="BU146" i="13"/>
  <c r="BZ146" i="13"/>
  <c r="DQ146" i="13" s="1"/>
  <c r="BV146" i="13"/>
  <c r="DO146" i="13" s="1"/>
  <c r="CD146" i="13"/>
  <c r="AG73" i="12"/>
  <c r="DD73" i="12" s="1"/>
  <c r="AJ73" i="12"/>
  <c r="DE73" i="12" s="1"/>
  <c r="AC73" i="12"/>
  <c r="AL73" i="12"/>
  <c r="AM73" i="12"/>
  <c r="AB73" i="12"/>
  <c r="DB73" i="12" s="1"/>
  <c r="AK73" i="12"/>
  <c r="AF73" i="12"/>
  <c r="DC73" i="12" s="1"/>
  <c r="AE73" i="12"/>
  <c r="AN73" i="12"/>
  <c r="AD73" i="12"/>
  <c r="AA73" i="12"/>
  <c r="AI73" i="12"/>
  <c r="AH73" i="12"/>
  <c r="AG36" i="14"/>
  <c r="DD36" i="14" s="1"/>
  <c r="AB36" i="14"/>
  <c r="DB36" i="14" s="1"/>
  <c r="AM36" i="14"/>
  <c r="AJ36" i="14"/>
  <c r="DE36" i="14" s="1"/>
  <c r="AD36" i="14"/>
  <c r="AL36" i="14"/>
  <c r="AF36" i="14"/>
  <c r="DC36" i="14" s="1"/>
  <c r="AH36" i="14"/>
  <c r="AI36" i="14"/>
  <c r="AC36" i="14"/>
  <c r="AE36" i="14"/>
  <c r="AK36" i="14"/>
  <c r="AA36" i="14"/>
  <c r="AN36" i="14"/>
  <c r="AG112" i="13"/>
  <c r="DD112" i="13" s="1"/>
  <c r="AC112" i="13"/>
  <c r="AH112" i="13"/>
  <c r="AD112" i="13"/>
  <c r="AI112" i="13"/>
  <c r="AL112" i="13"/>
  <c r="AA112" i="13"/>
  <c r="AN112" i="13"/>
  <c r="AB112" i="13"/>
  <c r="DB112" i="13" s="1"/>
  <c r="AE112" i="13"/>
  <c r="AK112" i="13"/>
  <c r="AJ112" i="13"/>
  <c r="DE112" i="13" s="1"/>
  <c r="AF112" i="13"/>
  <c r="DC112" i="13" s="1"/>
  <c r="AM112" i="13"/>
  <c r="AB114" i="13"/>
  <c r="DB114" i="13" s="1"/>
  <c r="AJ114" i="13"/>
  <c r="DE114" i="13" s="1"/>
  <c r="AF114" i="13"/>
  <c r="DC114" i="13" s="1"/>
  <c r="AE114" i="13"/>
  <c r="AN114" i="13"/>
  <c r="AM114" i="13"/>
  <c r="AH114" i="13"/>
  <c r="AD114" i="13"/>
  <c r="AA114" i="13"/>
  <c r="AK114" i="13"/>
  <c r="AG114" i="13"/>
  <c r="DD114" i="13" s="1"/>
  <c r="AI114" i="13"/>
  <c r="AC114" i="13"/>
  <c r="AL114" i="13"/>
  <c r="AP72" i="12"/>
  <c r="DF72" i="12" s="1"/>
  <c r="BB72" i="12"/>
  <c r="AV72" i="12"/>
  <c r="BA72" i="12"/>
  <c r="AO72" i="12"/>
  <c r="AX72" i="12"/>
  <c r="DI72" i="12" s="1"/>
  <c r="AS72" i="12"/>
  <c r="AU72" i="12"/>
  <c r="DH72" i="12" s="1"/>
  <c r="AT72" i="12"/>
  <c r="DG72" i="12" s="1"/>
  <c r="AW72" i="12"/>
  <c r="AZ72" i="12"/>
  <c r="AY72" i="12"/>
  <c r="AR72" i="12"/>
  <c r="AQ72" i="12"/>
  <c r="AV64" i="12"/>
  <c r="AW64" i="12"/>
  <c r="AS64" i="12"/>
  <c r="AU64" i="12"/>
  <c r="DH64" i="12" s="1"/>
  <c r="AO64" i="12"/>
  <c r="AZ64" i="12"/>
  <c r="BB64" i="12"/>
  <c r="AY64" i="12"/>
  <c r="AT64" i="12"/>
  <c r="DG64" i="12" s="1"/>
  <c r="AQ64" i="12"/>
  <c r="AX64" i="12"/>
  <c r="DI64" i="12" s="1"/>
  <c r="AR64" i="12"/>
  <c r="AP64" i="12"/>
  <c r="DF64" i="12" s="1"/>
  <c r="BA64" i="12"/>
  <c r="AQ106" i="13"/>
  <c r="AU106" i="13"/>
  <c r="DH106" i="13" s="1"/>
  <c r="AY106" i="13"/>
  <c r="AO106" i="13"/>
  <c r="AR106" i="13"/>
  <c r="AW106" i="13"/>
  <c r="AZ106" i="13"/>
  <c r="AS106" i="13"/>
  <c r="AP106" i="13"/>
  <c r="DF106" i="13" s="1"/>
  <c r="AT106" i="13"/>
  <c r="DG106" i="13" s="1"/>
  <c r="BA106" i="13"/>
  <c r="BB106" i="13"/>
  <c r="AV106" i="13"/>
  <c r="AX106" i="13"/>
  <c r="DI106" i="13" s="1"/>
  <c r="AR36" i="14"/>
  <c r="AS36" i="14"/>
  <c r="AV36" i="14"/>
  <c r="AP36" i="14"/>
  <c r="DF36" i="14" s="1"/>
  <c r="AW36" i="14"/>
  <c r="AO36" i="14"/>
  <c r="BA36" i="14"/>
  <c r="AX36" i="14"/>
  <c r="DI36" i="14" s="1"/>
  <c r="AY36" i="14"/>
  <c r="AQ36" i="14"/>
  <c r="AZ36" i="14"/>
  <c r="AU36" i="14"/>
  <c r="DH36" i="14" s="1"/>
  <c r="AT36" i="14"/>
  <c r="DG36" i="14" s="1"/>
  <c r="BB36" i="14"/>
  <c r="AY108" i="13"/>
  <c r="AU108" i="13"/>
  <c r="DH108" i="13" s="1"/>
  <c r="AP108" i="13"/>
  <c r="DF108" i="13" s="1"/>
  <c r="AV108" i="13"/>
  <c r="AX108" i="13"/>
  <c r="DI108" i="13" s="1"/>
  <c r="AZ108" i="13"/>
  <c r="AW108" i="13"/>
  <c r="AR108" i="13"/>
  <c r="AS108" i="13"/>
  <c r="AO108" i="13"/>
  <c r="BB108" i="13"/>
  <c r="AQ108" i="13"/>
  <c r="BA108" i="13"/>
  <c r="AT108" i="13"/>
  <c r="DG108" i="13" s="1"/>
  <c r="AU37" i="14"/>
  <c r="DH37" i="14" s="1"/>
  <c r="AO37" i="14"/>
  <c r="AP37" i="14"/>
  <c r="DF37" i="14" s="1"/>
  <c r="BA37" i="14"/>
  <c r="AT37" i="14"/>
  <c r="DG37" i="14" s="1"/>
  <c r="AW37" i="14"/>
  <c r="AX37" i="14"/>
  <c r="DI37" i="14" s="1"/>
  <c r="BB37" i="14"/>
  <c r="AV37" i="14"/>
  <c r="AQ37" i="14"/>
  <c r="AS37" i="14"/>
  <c r="AY37" i="14"/>
  <c r="AR37" i="14"/>
  <c r="AZ37" i="14"/>
  <c r="AY99" i="12"/>
  <c r="AQ99" i="12"/>
  <c r="AX99" i="12"/>
  <c r="DI99" i="12" s="1"/>
  <c r="AO99" i="12"/>
  <c r="AR99" i="12"/>
  <c r="AS99" i="12"/>
  <c r="AT99" i="12"/>
  <c r="DG99" i="12" s="1"/>
  <c r="AZ99" i="12"/>
  <c r="BA99" i="12"/>
  <c r="BB99" i="12"/>
  <c r="AP99" i="12"/>
  <c r="DF99" i="12" s="1"/>
  <c r="AU99" i="12"/>
  <c r="DH99" i="12" s="1"/>
  <c r="AV99" i="12"/>
  <c r="AW99" i="12"/>
  <c r="AY89" i="12"/>
  <c r="AQ89" i="12"/>
  <c r="AU89" i="12"/>
  <c r="DH89" i="12" s="1"/>
  <c r="AW89" i="12"/>
  <c r="AX89" i="12"/>
  <c r="DI89" i="12" s="1"/>
  <c r="AT89" i="12"/>
  <c r="DG89" i="12" s="1"/>
  <c r="BB89" i="12"/>
  <c r="AV89" i="12"/>
  <c r="AS89" i="12"/>
  <c r="AR89" i="12"/>
  <c r="BA89" i="12"/>
  <c r="AO89" i="12"/>
  <c r="AP89" i="12"/>
  <c r="DF89" i="12" s="1"/>
  <c r="AZ89" i="12"/>
  <c r="BA148" i="13"/>
  <c r="AP148" i="13"/>
  <c r="DF148" i="13" s="1"/>
  <c r="AT148" i="13"/>
  <c r="DG148" i="13" s="1"/>
  <c r="AX148" i="13"/>
  <c r="DI148" i="13" s="1"/>
  <c r="BB148" i="13"/>
  <c r="AQ148" i="13"/>
  <c r="AU148" i="13"/>
  <c r="DH148" i="13" s="1"/>
  <c r="AY148" i="13"/>
  <c r="AO148" i="13"/>
  <c r="AR148" i="13"/>
  <c r="AW148" i="13"/>
  <c r="AS148" i="13"/>
  <c r="AV148" i="13"/>
  <c r="AZ148" i="13"/>
  <c r="AW151" i="13"/>
  <c r="AO151" i="13"/>
  <c r="AS151" i="13"/>
  <c r="AQ151" i="13"/>
  <c r="BB151" i="13"/>
  <c r="BA151" i="13"/>
  <c r="AT151" i="13"/>
  <c r="DG151" i="13" s="1"/>
  <c r="AV151" i="13"/>
  <c r="AU151" i="13"/>
  <c r="DH151" i="13" s="1"/>
  <c r="AX151" i="13"/>
  <c r="DI151" i="13" s="1"/>
  <c r="AY151" i="13"/>
  <c r="AZ151" i="13"/>
  <c r="AP151" i="13"/>
  <c r="DF151" i="13" s="1"/>
  <c r="AR151" i="13"/>
  <c r="BB146" i="13"/>
  <c r="AX146" i="13"/>
  <c r="DI146" i="13" s="1"/>
  <c r="AT146" i="13"/>
  <c r="DG146" i="13" s="1"/>
  <c r="AU146" i="13"/>
  <c r="DH146" i="13" s="1"/>
  <c r="AR146" i="13"/>
  <c r="AV146" i="13"/>
  <c r="AZ146" i="13"/>
  <c r="AW146" i="13"/>
  <c r="AQ146" i="13"/>
  <c r="AP146" i="13"/>
  <c r="DF146" i="13" s="1"/>
  <c r="BA146" i="13"/>
  <c r="AS146" i="13"/>
  <c r="AY146" i="13"/>
  <c r="AO146" i="13"/>
  <c r="R68" i="12"/>
  <c r="S68" i="12"/>
  <c r="M68" i="12"/>
  <c r="Q68" i="12"/>
  <c r="X68" i="12"/>
  <c r="Z68" i="12"/>
  <c r="V68" i="12"/>
  <c r="Y68" i="12"/>
  <c r="N68" i="12"/>
  <c r="W68" i="12"/>
  <c r="O68" i="12"/>
  <c r="P68" i="12"/>
  <c r="U68" i="12"/>
  <c r="T68" i="12"/>
  <c r="T69" i="12"/>
  <c r="W69" i="12"/>
  <c r="O69" i="12"/>
  <c r="S69" i="12"/>
  <c r="V69" i="12"/>
  <c r="U69" i="12"/>
  <c r="N69" i="12"/>
  <c r="M69" i="12"/>
  <c r="Y69" i="12"/>
  <c r="Q69" i="12"/>
  <c r="Z69" i="12"/>
  <c r="R69" i="12"/>
  <c r="X69" i="12"/>
  <c r="P69" i="12"/>
  <c r="Q38" i="14"/>
  <c r="X38" i="14"/>
  <c r="Z38" i="14"/>
  <c r="S38" i="14"/>
  <c r="U38" i="14"/>
  <c r="R38" i="14"/>
  <c r="N38" i="14"/>
  <c r="T38" i="14"/>
  <c r="V38" i="14"/>
  <c r="O38" i="14"/>
  <c r="P38" i="14"/>
  <c r="M38" i="14"/>
  <c r="Y38" i="14"/>
  <c r="W38" i="14"/>
  <c r="Q103" i="13"/>
  <c r="W103" i="13"/>
  <c r="Y103" i="13"/>
  <c r="R103" i="13"/>
  <c r="N103" i="13"/>
  <c r="Z103" i="13"/>
  <c r="CR103" i="13" s="1"/>
  <c r="J103" i="13" s="1"/>
  <c r="V103" i="13"/>
  <c r="S103" i="13"/>
  <c r="P103" i="13"/>
  <c r="M103" i="13"/>
  <c r="O103" i="13"/>
  <c r="X103" i="13"/>
  <c r="T103" i="13"/>
  <c r="U103" i="13"/>
  <c r="BK88" i="12"/>
  <c r="BI88" i="12"/>
  <c r="DL88" i="12" s="1"/>
  <c r="BJ88" i="12"/>
  <c r="BD88" i="12"/>
  <c r="DJ88" i="12" s="1"/>
  <c r="BF88" i="12"/>
  <c r="BL88" i="12"/>
  <c r="DM88" i="12" s="1"/>
  <c r="BN88" i="12"/>
  <c r="BG88" i="12"/>
  <c r="BO88" i="12"/>
  <c r="BE88" i="12"/>
  <c r="BH88" i="12"/>
  <c r="DK88" i="12" s="1"/>
  <c r="BM88" i="12"/>
  <c r="BP88" i="12"/>
  <c r="BC88" i="12"/>
  <c r="BE82" i="14"/>
  <c r="BI82" i="14"/>
  <c r="DL82" i="14" s="1"/>
  <c r="BO82" i="14"/>
  <c r="BP82" i="14"/>
  <c r="BG82" i="14"/>
  <c r="BH82" i="14"/>
  <c r="DK82" i="14" s="1"/>
  <c r="BL82" i="14"/>
  <c r="DM82" i="14" s="1"/>
  <c r="BN82" i="14"/>
  <c r="BD82" i="14"/>
  <c r="DJ82" i="14" s="1"/>
  <c r="BF82" i="14"/>
  <c r="BK82" i="14"/>
  <c r="BM82" i="14"/>
  <c r="BJ82" i="14"/>
  <c r="BC82" i="14"/>
  <c r="BJ69" i="12"/>
  <c r="BI69" i="12"/>
  <c r="DL69" i="12" s="1"/>
  <c r="BO69" i="12"/>
  <c r="BE69" i="12"/>
  <c r="BM69" i="12"/>
  <c r="BH69" i="12"/>
  <c r="DK69" i="12" s="1"/>
  <c r="BC69" i="12"/>
  <c r="BD69" i="12"/>
  <c r="DJ69" i="12" s="1"/>
  <c r="BG69" i="12"/>
  <c r="BL69" i="12"/>
  <c r="DM69" i="12" s="1"/>
  <c r="BK69" i="12"/>
  <c r="BN69" i="12"/>
  <c r="BF69" i="12"/>
  <c r="BP69" i="12"/>
  <c r="BO114" i="13"/>
  <c r="BD114" i="13"/>
  <c r="DJ114" i="13" s="1"/>
  <c r="BH114" i="13"/>
  <c r="DK114" i="13" s="1"/>
  <c r="BL114" i="13"/>
  <c r="DM114" i="13" s="1"/>
  <c r="BP114" i="13"/>
  <c r="BE114" i="13"/>
  <c r="BC114" i="13"/>
  <c r="BM114" i="13"/>
  <c r="BK114" i="13"/>
  <c r="BF114" i="13"/>
  <c r="BI114" i="13"/>
  <c r="DL114" i="13" s="1"/>
  <c r="BJ114" i="13"/>
  <c r="BN114" i="13"/>
  <c r="BG114" i="13"/>
  <c r="BD36" i="14"/>
  <c r="DJ36" i="14" s="1"/>
  <c r="BL36" i="14"/>
  <c r="DM36" i="14" s="1"/>
  <c r="BE36" i="14"/>
  <c r="BK36" i="14"/>
  <c r="BM36" i="14"/>
  <c r="BG36" i="14"/>
  <c r="BF36" i="14"/>
  <c r="BO36" i="14"/>
  <c r="BJ36" i="14"/>
  <c r="BI36" i="14"/>
  <c r="DL36" i="14" s="1"/>
  <c r="BC36" i="14"/>
  <c r="BP36" i="14"/>
  <c r="BH36" i="14"/>
  <c r="DK36" i="14" s="1"/>
  <c r="BN36" i="14"/>
  <c r="BP39" i="14"/>
  <c r="BG39" i="14"/>
  <c r="BH39" i="14"/>
  <c r="DK39" i="14" s="1"/>
  <c r="BO39" i="14"/>
  <c r="BJ39" i="14"/>
  <c r="BI39" i="14"/>
  <c r="DL39" i="14" s="1"/>
  <c r="BC39" i="14"/>
  <c r="BD39" i="14"/>
  <c r="DJ39" i="14" s="1"/>
  <c r="BM39" i="14"/>
  <c r="BE39" i="14"/>
  <c r="BK39" i="14"/>
  <c r="BN39" i="14"/>
  <c r="BF39" i="14"/>
  <c r="BL39" i="14"/>
  <c r="DM39" i="14" s="1"/>
  <c r="BJ42" i="14"/>
  <c r="BN42" i="14"/>
  <c r="BI42" i="14"/>
  <c r="DL42" i="14" s="1"/>
  <c r="BF42" i="14"/>
  <c r="BP42" i="14"/>
  <c r="BE42" i="14"/>
  <c r="BH42" i="14"/>
  <c r="DK42" i="14" s="1"/>
  <c r="BK42" i="14"/>
  <c r="BO42" i="14"/>
  <c r="BD42" i="14"/>
  <c r="DJ42" i="14" s="1"/>
  <c r="BL42" i="14"/>
  <c r="DM42" i="14" s="1"/>
  <c r="BG42" i="14"/>
  <c r="BC42" i="14"/>
  <c r="BM42" i="14"/>
  <c r="BM17" i="15"/>
  <c r="BL17" i="15"/>
  <c r="DM17" i="15" s="1"/>
  <c r="BE17" i="15"/>
  <c r="BF17" i="15"/>
  <c r="BH17" i="15"/>
  <c r="DK17" i="15" s="1"/>
  <c r="BD17" i="15"/>
  <c r="DJ17" i="15" s="1"/>
  <c r="BC17" i="15"/>
  <c r="BG17" i="15"/>
  <c r="BP17" i="15"/>
  <c r="BK17" i="15"/>
  <c r="BO17" i="15"/>
  <c r="BI17" i="15"/>
  <c r="DL17" i="15" s="1"/>
  <c r="BJ17" i="15"/>
  <c r="BN17" i="15"/>
  <c r="G300" i="8"/>
  <c r="D57" i="8"/>
  <c r="E57" i="8"/>
  <c r="I279" i="8"/>
  <c r="J279" i="8" s="1"/>
  <c r="F299" i="8"/>
  <c r="Q302" i="8"/>
  <c r="Q297" i="8"/>
  <c r="Q296" i="8"/>
  <c r="I273" i="8"/>
  <c r="J273" i="8" s="1"/>
  <c r="G296" i="8"/>
  <c r="G298" i="8"/>
  <c r="F303" i="8"/>
  <c r="S274" i="8"/>
  <c r="T274" i="8" s="1"/>
  <c r="O296" i="8"/>
  <c r="I277" i="8"/>
  <c r="J277" i="8" s="1"/>
  <c r="I269" i="8"/>
  <c r="J269" i="8" s="1"/>
  <c r="S270" i="8"/>
  <c r="T270" i="8" s="1"/>
  <c r="Q300" i="8"/>
  <c r="S268" i="8"/>
  <c r="T268" i="8" s="1"/>
  <c r="S283" i="8"/>
  <c r="T283" i="8" s="1"/>
  <c r="S275" i="8"/>
  <c r="T275" i="8" s="1"/>
  <c r="Q304" i="8"/>
  <c r="E306" i="8"/>
  <c r="Q305" i="8"/>
  <c r="AY47" i="8"/>
  <c r="AQ47" i="8"/>
  <c r="AX47" i="8"/>
  <c r="DI47" i="8" s="1"/>
  <c r="AP47" i="8"/>
  <c r="DF47" i="8" s="1"/>
  <c r="AW47" i="8"/>
  <c r="AO47" i="8"/>
  <c r="AV47" i="8"/>
  <c r="AU47" i="8"/>
  <c r="DH47" i="8" s="1"/>
  <c r="AT47" i="8"/>
  <c r="DG47" i="8" s="1"/>
  <c r="BA47" i="8"/>
  <c r="AS47" i="8"/>
  <c r="AZ47" i="8"/>
  <c r="AR47" i="8"/>
  <c r="BB47" i="8"/>
  <c r="AM98" i="8"/>
  <c r="AE98" i="8"/>
  <c r="AL98" i="8"/>
  <c r="AD98" i="8"/>
  <c r="AK98" i="8"/>
  <c r="AC98" i="8"/>
  <c r="AJ98" i="8"/>
  <c r="DE98" i="8" s="1"/>
  <c r="AB98" i="8"/>
  <c r="DB98" i="8" s="1"/>
  <c r="AI98" i="8"/>
  <c r="AA98" i="8"/>
  <c r="AH98" i="8"/>
  <c r="AG98" i="8"/>
  <c r="DD98" i="8" s="1"/>
  <c r="AN98" i="8"/>
  <c r="AF98" i="8"/>
  <c r="DC98" i="8" s="1"/>
  <c r="Q303" i="8"/>
  <c r="BK53" i="8"/>
  <c r="BC53" i="8"/>
  <c r="BJ53" i="8"/>
  <c r="BI53" i="8"/>
  <c r="DL53" i="8" s="1"/>
  <c r="BH53" i="8"/>
  <c r="DK53" i="8" s="1"/>
  <c r="BO53" i="8"/>
  <c r="BG53" i="8"/>
  <c r="BN53" i="8"/>
  <c r="BF53" i="8"/>
  <c r="BM53" i="8"/>
  <c r="BE53" i="8"/>
  <c r="BL53" i="8"/>
  <c r="DM53" i="8" s="1"/>
  <c r="BD53" i="8"/>
  <c r="DJ53" i="8" s="1"/>
  <c r="BP53" i="8"/>
  <c r="AG50" i="8"/>
  <c r="DD50" i="8" s="1"/>
  <c r="AF50" i="8"/>
  <c r="DC50" i="8" s="1"/>
  <c r="AM50" i="8"/>
  <c r="AE50" i="8"/>
  <c r="AL50" i="8"/>
  <c r="AD50" i="8"/>
  <c r="AK50" i="8"/>
  <c r="AC50" i="8"/>
  <c r="AJ50" i="8"/>
  <c r="DE50" i="8" s="1"/>
  <c r="AB50" i="8"/>
  <c r="DB50" i="8" s="1"/>
  <c r="AI50" i="8"/>
  <c r="AH50" i="8"/>
  <c r="AA50" i="8"/>
  <c r="AN50" i="8"/>
  <c r="AK46" i="8"/>
  <c r="AC46" i="8"/>
  <c r="AJ46" i="8"/>
  <c r="DE46" i="8" s="1"/>
  <c r="AB46" i="8"/>
  <c r="DB46" i="8" s="1"/>
  <c r="AI46" i="8"/>
  <c r="AA46" i="8"/>
  <c r="AH46" i="8"/>
  <c r="AG46" i="8"/>
  <c r="DD46" i="8" s="1"/>
  <c r="AF46" i="8"/>
  <c r="DC46" i="8" s="1"/>
  <c r="AM46" i="8"/>
  <c r="AL46" i="8"/>
  <c r="AE46" i="8"/>
  <c r="AD46" i="8"/>
  <c r="AN46" i="8"/>
  <c r="AI104" i="8"/>
  <c r="AA104" i="8"/>
  <c r="AH104" i="8"/>
  <c r="AG104" i="8"/>
  <c r="DD104" i="8" s="1"/>
  <c r="AN104" i="8"/>
  <c r="AF104" i="8"/>
  <c r="DC104" i="8" s="1"/>
  <c r="AM104" i="8"/>
  <c r="AE104" i="8"/>
  <c r="AL104" i="8"/>
  <c r="AD104" i="8"/>
  <c r="AK104" i="8"/>
  <c r="AC104" i="8"/>
  <c r="AB104" i="8"/>
  <c r="DB104" i="8" s="1"/>
  <c r="AJ104" i="8"/>
  <c r="DE104" i="8" s="1"/>
  <c r="CA47" i="8"/>
  <c r="BS47" i="8"/>
  <c r="BZ47" i="8"/>
  <c r="DQ47" i="8" s="1"/>
  <c r="BR47" i="8"/>
  <c r="DN47" i="8" s="1"/>
  <c r="BY47" i="8"/>
  <c r="BQ47" i="8"/>
  <c r="BX47" i="8"/>
  <c r="BW47" i="8"/>
  <c r="DP47" i="8" s="1"/>
  <c r="BV47" i="8"/>
  <c r="DO47" i="8" s="1"/>
  <c r="CC47" i="8"/>
  <c r="BU47" i="8"/>
  <c r="CB47" i="8"/>
  <c r="BT47" i="8"/>
  <c r="CD47" i="8"/>
  <c r="AY97" i="8"/>
  <c r="AQ97" i="8"/>
  <c r="AX97" i="8"/>
  <c r="DI97" i="8" s="1"/>
  <c r="AP97" i="8"/>
  <c r="DF97" i="8" s="1"/>
  <c r="AW97" i="8"/>
  <c r="AO97" i="8"/>
  <c r="AV97" i="8"/>
  <c r="AU97" i="8"/>
  <c r="DH97" i="8" s="1"/>
  <c r="BB97" i="8"/>
  <c r="AT97" i="8"/>
  <c r="DG97" i="8" s="1"/>
  <c r="BA97" i="8"/>
  <c r="AS97" i="8"/>
  <c r="AZ97" i="8"/>
  <c r="AR97" i="8"/>
  <c r="BA102" i="8"/>
  <c r="AS102" i="8"/>
  <c r="AZ102" i="8"/>
  <c r="AR102" i="8"/>
  <c r="AY102" i="8"/>
  <c r="AQ102" i="8"/>
  <c r="AX102" i="8"/>
  <c r="DI102" i="8" s="1"/>
  <c r="AP102" i="8"/>
  <c r="DF102" i="8" s="1"/>
  <c r="AW102" i="8"/>
  <c r="AO102" i="8"/>
  <c r="AV102" i="8"/>
  <c r="AU102" i="8"/>
  <c r="DH102" i="8" s="1"/>
  <c r="BB102" i="8"/>
  <c r="AT102" i="8"/>
  <c r="DG102" i="8" s="1"/>
  <c r="W105" i="8"/>
  <c r="O105" i="8"/>
  <c r="V105" i="8"/>
  <c r="DA105" i="8" s="1"/>
  <c r="N105" i="8"/>
  <c r="CX105" i="8" s="1"/>
  <c r="U105" i="8"/>
  <c r="M105" i="8"/>
  <c r="T105" i="8"/>
  <c r="S105" i="8"/>
  <c r="CZ105" i="8" s="1"/>
  <c r="Z105" i="8"/>
  <c r="R105" i="8"/>
  <c r="CY105" i="8" s="1"/>
  <c r="Y105" i="8"/>
  <c r="Q105" i="8"/>
  <c r="P105" i="8"/>
  <c r="X105" i="8"/>
  <c r="Y56" i="8"/>
  <c r="Q56" i="8"/>
  <c r="X56" i="8"/>
  <c r="P56" i="8"/>
  <c r="W56" i="8"/>
  <c r="O56" i="8"/>
  <c r="V56" i="8"/>
  <c r="DA56" i="8" s="1"/>
  <c r="N56" i="8"/>
  <c r="CX56" i="8" s="1"/>
  <c r="U56" i="8"/>
  <c r="M56" i="8"/>
  <c r="T56" i="8"/>
  <c r="R56" i="8"/>
  <c r="S56" i="8"/>
  <c r="Z56" i="8"/>
  <c r="BY106" i="8"/>
  <c r="BQ106" i="8"/>
  <c r="BX106" i="8"/>
  <c r="BW106" i="8"/>
  <c r="DP106" i="8" s="1"/>
  <c r="CD106" i="8"/>
  <c r="BV106" i="8"/>
  <c r="DO106" i="8" s="1"/>
  <c r="CC106" i="8"/>
  <c r="BU106" i="8"/>
  <c r="CB106" i="8"/>
  <c r="BT106" i="8"/>
  <c r="CA106" i="8"/>
  <c r="BS106" i="8"/>
  <c r="BZ106" i="8"/>
  <c r="DQ106" i="8" s="1"/>
  <c r="BR106" i="8"/>
  <c r="DN106" i="8" s="1"/>
  <c r="BM99" i="8"/>
  <c r="BE99" i="8"/>
  <c r="BL99" i="8"/>
  <c r="DM99" i="8" s="1"/>
  <c r="BD99" i="8"/>
  <c r="DJ99" i="8" s="1"/>
  <c r="BK99" i="8"/>
  <c r="BC99" i="8"/>
  <c r="BJ99" i="8"/>
  <c r="BI99" i="8"/>
  <c r="DL99" i="8" s="1"/>
  <c r="BP99" i="8"/>
  <c r="BH99" i="8"/>
  <c r="DK99" i="8" s="1"/>
  <c r="BO99" i="8"/>
  <c r="BG99" i="8"/>
  <c r="BN99" i="8"/>
  <c r="BF99" i="8"/>
  <c r="AH45" i="8"/>
  <c r="AG45" i="8"/>
  <c r="DD45" i="8" s="1"/>
  <c r="AF45" i="8"/>
  <c r="DC45" i="8" s="1"/>
  <c r="AM45" i="8"/>
  <c r="AE45" i="8"/>
  <c r="AL45" i="8"/>
  <c r="AD45" i="8"/>
  <c r="AK45" i="8"/>
  <c r="AC45" i="8"/>
  <c r="AJ45" i="8"/>
  <c r="DE45" i="8" s="1"/>
  <c r="AI45" i="8"/>
  <c r="AB45" i="8"/>
  <c r="DB45" i="8" s="1"/>
  <c r="AA45" i="8"/>
  <c r="AN45" i="8"/>
  <c r="BW101" i="8"/>
  <c r="DP101" i="8" s="1"/>
  <c r="CD101" i="8"/>
  <c r="BV101" i="8"/>
  <c r="DO101" i="8" s="1"/>
  <c r="CC101" i="8"/>
  <c r="BU101" i="8"/>
  <c r="CB101" i="8"/>
  <c r="BT101" i="8"/>
  <c r="CA101" i="8"/>
  <c r="BS101" i="8"/>
  <c r="BZ101" i="8"/>
  <c r="DQ101" i="8" s="1"/>
  <c r="BR101" i="8"/>
  <c r="DN101" i="8" s="1"/>
  <c r="BY101" i="8"/>
  <c r="BQ101" i="8"/>
  <c r="BX101" i="8"/>
  <c r="X48" i="8"/>
  <c r="P48" i="8"/>
  <c r="W48" i="8"/>
  <c r="O48" i="8"/>
  <c r="N48" i="8"/>
  <c r="CX48" i="8" s="1"/>
  <c r="V48" i="8"/>
  <c r="DA48" i="8" s="1"/>
  <c r="U48" i="8"/>
  <c r="M48" i="8"/>
  <c r="S48" i="8"/>
  <c r="CZ48" i="8" s="1"/>
  <c r="Q48" i="8"/>
  <c r="T48" i="8"/>
  <c r="R48" i="8"/>
  <c r="CY48" i="8" s="1"/>
  <c r="Y48" i="8"/>
  <c r="Z48" i="8"/>
  <c r="AV106" i="8"/>
  <c r="AU106" i="8"/>
  <c r="DH106" i="8" s="1"/>
  <c r="BB106" i="8"/>
  <c r="AT106" i="8"/>
  <c r="DG106" i="8" s="1"/>
  <c r="AZ106" i="8"/>
  <c r="AR106" i="8"/>
  <c r="AY106" i="8"/>
  <c r="AX106" i="8"/>
  <c r="DI106" i="8" s="1"/>
  <c r="AW106" i="8"/>
  <c r="AS106" i="8"/>
  <c r="AQ106" i="8"/>
  <c r="AP106" i="8"/>
  <c r="DF106" i="8" s="1"/>
  <c r="AO106" i="8"/>
  <c r="BA106" i="8"/>
  <c r="I284" i="8"/>
  <c r="J284" i="8" s="1"/>
  <c r="Q103" i="8"/>
  <c r="T103" i="8"/>
  <c r="AZ50" i="8"/>
  <c r="AR50" i="8"/>
  <c r="AY50" i="8"/>
  <c r="AQ50" i="8"/>
  <c r="AX50" i="8"/>
  <c r="DI50" i="8" s="1"/>
  <c r="AP50" i="8"/>
  <c r="DF50" i="8" s="1"/>
  <c r="AW50" i="8"/>
  <c r="AO50" i="8"/>
  <c r="AV50" i="8"/>
  <c r="AU50" i="8"/>
  <c r="DH50" i="8" s="1"/>
  <c r="AT50" i="8"/>
  <c r="DG50" i="8" s="1"/>
  <c r="BA50" i="8"/>
  <c r="AS50" i="8"/>
  <c r="BB50" i="8"/>
  <c r="AW100" i="8"/>
  <c r="AO100" i="8"/>
  <c r="AV100" i="8"/>
  <c r="AU100" i="8"/>
  <c r="DH100" i="8" s="1"/>
  <c r="BB100" i="8"/>
  <c r="AT100" i="8"/>
  <c r="DG100" i="8" s="1"/>
  <c r="BA100" i="8"/>
  <c r="AS100" i="8"/>
  <c r="AZ100" i="8"/>
  <c r="AR100" i="8"/>
  <c r="AY100" i="8"/>
  <c r="AQ100" i="8"/>
  <c r="AX100" i="8"/>
  <c r="DI100" i="8" s="1"/>
  <c r="AP100" i="8"/>
  <c r="DF100" i="8" s="1"/>
  <c r="T96" i="8"/>
  <c r="S96" i="8"/>
  <c r="CZ96" i="8" s="1"/>
  <c r="Z96" i="8"/>
  <c r="R96" i="8"/>
  <c r="CY96" i="8" s="1"/>
  <c r="X96" i="8"/>
  <c r="P96" i="8"/>
  <c r="W96" i="8"/>
  <c r="O96" i="8"/>
  <c r="N96" i="8"/>
  <c r="CX96" i="8" s="1"/>
  <c r="M96" i="8"/>
  <c r="Q96" i="8"/>
  <c r="Y96" i="8"/>
  <c r="V96" i="8"/>
  <c r="DA96" i="8" s="1"/>
  <c r="U96" i="8"/>
  <c r="S54" i="8"/>
  <c r="CZ54" i="8" s="1"/>
  <c r="R54" i="8"/>
  <c r="CY54" i="8" s="1"/>
  <c r="Y54" i="8"/>
  <c r="Q54" i="8"/>
  <c r="X54" i="8"/>
  <c r="P54" i="8"/>
  <c r="V54" i="8"/>
  <c r="DA54" i="8" s="1"/>
  <c r="N54" i="8"/>
  <c r="CX54" i="8" s="1"/>
  <c r="U54" i="8"/>
  <c r="W54" i="8"/>
  <c r="T54" i="8"/>
  <c r="O54" i="8"/>
  <c r="M54" i="8"/>
  <c r="Z54" i="8"/>
  <c r="AW104" i="8"/>
  <c r="AO104" i="8"/>
  <c r="AV104" i="8"/>
  <c r="AU104" i="8"/>
  <c r="DH104" i="8" s="1"/>
  <c r="BB104" i="8"/>
  <c r="AT104" i="8"/>
  <c r="DG104" i="8" s="1"/>
  <c r="BA104" i="8"/>
  <c r="AS104" i="8"/>
  <c r="AZ104" i="8"/>
  <c r="AR104" i="8"/>
  <c r="AY104" i="8"/>
  <c r="AQ104" i="8"/>
  <c r="AP104" i="8"/>
  <c r="DF104" i="8" s="1"/>
  <c r="AX104" i="8"/>
  <c r="DI104" i="8" s="1"/>
  <c r="BI47" i="8"/>
  <c r="DL47" i="8" s="1"/>
  <c r="BH47" i="8"/>
  <c r="DK47" i="8" s="1"/>
  <c r="BO47" i="8"/>
  <c r="BG47" i="8"/>
  <c r="BN47" i="8"/>
  <c r="BF47" i="8"/>
  <c r="BM47" i="8"/>
  <c r="BE47" i="8"/>
  <c r="BL47" i="8"/>
  <c r="DM47" i="8" s="1"/>
  <c r="BD47" i="8"/>
  <c r="DJ47" i="8" s="1"/>
  <c r="BK47" i="8"/>
  <c r="BC47" i="8"/>
  <c r="BJ47" i="8"/>
  <c r="BP47" i="8"/>
  <c r="BH52" i="8"/>
  <c r="DK52" i="8" s="1"/>
  <c r="BO52" i="8"/>
  <c r="BG52" i="8"/>
  <c r="BN52" i="8"/>
  <c r="BF52" i="8"/>
  <c r="BM52" i="8"/>
  <c r="BE52" i="8"/>
  <c r="BL52" i="8"/>
  <c r="DM52" i="8" s="1"/>
  <c r="BD52" i="8"/>
  <c r="DJ52" i="8" s="1"/>
  <c r="BK52" i="8"/>
  <c r="BC52" i="8"/>
  <c r="BJ52" i="8"/>
  <c r="BI52" i="8"/>
  <c r="DL52" i="8" s="1"/>
  <c r="BP52" i="8"/>
  <c r="BY102" i="8"/>
  <c r="BQ102" i="8"/>
  <c r="BX102" i="8"/>
  <c r="BW102" i="8"/>
  <c r="DP102" i="8" s="1"/>
  <c r="CD102" i="8"/>
  <c r="BV102" i="8"/>
  <c r="DO102" i="8" s="1"/>
  <c r="CC102" i="8"/>
  <c r="BU102" i="8"/>
  <c r="CB102" i="8"/>
  <c r="BT102" i="8"/>
  <c r="CA102" i="8"/>
  <c r="BS102" i="8"/>
  <c r="BR102" i="8"/>
  <c r="DN102" i="8" s="1"/>
  <c r="BZ102" i="8"/>
  <c r="DQ102" i="8" s="1"/>
  <c r="BI55" i="8"/>
  <c r="DL55" i="8" s="1"/>
  <c r="BH55" i="8"/>
  <c r="DK55" i="8" s="1"/>
  <c r="BO55" i="8"/>
  <c r="BG55" i="8"/>
  <c r="BN55" i="8"/>
  <c r="BF55" i="8"/>
  <c r="BM55" i="8"/>
  <c r="BE55" i="8"/>
  <c r="BL55" i="8"/>
  <c r="DM55" i="8" s="1"/>
  <c r="BD55" i="8"/>
  <c r="DJ55" i="8" s="1"/>
  <c r="BK55" i="8"/>
  <c r="BC55" i="8"/>
  <c r="BJ55" i="8"/>
  <c r="BP55" i="8"/>
  <c r="BB105" i="8"/>
  <c r="AY105" i="8"/>
  <c r="AQ105" i="8"/>
  <c r="AX105" i="8"/>
  <c r="DI105" i="8" s="1"/>
  <c r="AP105" i="8"/>
  <c r="DF105" i="8" s="1"/>
  <c r="AW105" i="8"/>
  <c r="AO105" i="8"/>
  <c r="AV105" i="8"/>
  <c r="AU105" i="8"/>
  <c r="DH105" i="8" s="1"/>
  <c r="AT105" i="8"/>
  <c r="DG105" i="8" s="1"/>
  <c r="BA105" i="8"/>
  <c r="AS105" i="8"/>
  <c r="AZ105" i="8"/>
  <c r="AR105" i="8"/>
  <c r="AJ56" i="8"/>
  <c r="DE56" i="8" s="1"/>
  <c r="AB56" i="8"/>
  <c r="DB56" i="8" s="1"/>
  <c r="AI56" i="8"/>
  <c r="AA56" i="8"/>
  <c r="AH56" i="8"/>
  <c r="AG56" i="8"/>
  <c r="DD56" i="8" s="1"/>
  <c r="AF56" i="8"/>
  <c r="DC56" i="8" s="1"/>
  <c r="AM56" i="8"/>
  <c r="AE56" i="8"/>
  <c r="AL56" i="8"/>
  <c r="AD56" i="8"/>
  <c r="AC56" i="8"/>
  <c r="AK56" i="8"/>
  <c r="AN56" i="8"/>
  <c r="BA45" i="8"/>
  <c r="AS45" i="8"/>
  <c r="AZ45" i="8"/>
  <c r="AR45" i="8"/>
  <c r="AY45" i="8"/>
  <c r="AQ45" i="8"/>
  <c r="AX45" i="8"/>
  <c r="DI45" i="8" s="1"/>
  <c r="AP45" i="8"/>
  <c r="DF45" i="8" s="1"/>
  <c r="AW45" i="8"/>
  <c r="AO45" i="8"/>
  <c r="AV45" i="8"/>
  <c r="AU45" i="8"/>
  <c r="DH45" i="8" s="1"/>
  <c r="AT45" i="8"/>
  <c r="DG45" i="8" s="1"/>
  <c r="BB45" i="8"/>
  <c r="R101" i="8"/>
  <c r="CY101" i="8" s="1"/>
  <c r="BY98" i="8"/>
  <c r="BQ98" i="8"/>
  <c r="BX98" i="8"/>
  <c r="BW98" i="8"/>
  <c r="DP98" i="8" s="1"/>
  <c r="CD98" i="8"/>
  <c r="BV98" i="8"/>
  <c r="DO98" i="8" s="1"/>
  <c r="CC98" i="8"/>
  <c r="BU98" i="8"/>
  <c r="CB98" i="8"/>
  <c r="BT98" i="8"/>
  <c r="CA98" i="8"/>
  <c r="BS98" i="8"/>
  <c r="BZ98" i="8"/>
  <c r="DQ98" i="8" s="1"/>
  <c r="BR98" i="8"/>
  <c r="DN98" i="8" s="1"/>
  <c r="AH53" i="8"/>
  <c r="AG53" i="8"/>
  <c r="DD53" i="8" s="1"/>
  <c r="AF53" i="8"/>
  <c r="DC53" i="8" s="1"/>
  <c r="AM53" i="8"/>
  <c r="AE53" i="8"/>
  <c r="AL53" i="8"/>
  <c r="AD53" i="8"/>
  <c r="AK53" i="8"/>
  <c r="AC53" i="8"/>
  <c r="AI53" i="8"/>
  <c r="AB53" i="8"/>
  <c r="DB53" i="8" s="1"/>
  <c r="AA53" i="8"/>
  <c r="AJ53" i="8"/>
  <c r="DE53" i="8" s="1"/>
  <c r="AN53" i="8"/>
  <c r="BL95" i="8"/>
  <c r="DM95" i="8" s="1"/>
  <c r="BD95" i="8"/>
  <c r="DJ95" i="8" s="1"/>
  <c r="BK95" i="8"/>
  <c r="BC95" i="8"/>
  <c r="BJ95" i="8"/>
  <c r="BP95" i="8"/>
  <c r="BH95" i="8"/>
  <c r="DK95" i="8" s="1"/>
  <c r="BO95" i="8"/>
  <c r="BG95" i="8"/>
  <c r="BN95" i="8"/>
  <c r="BM95" i="8"/>
  <c r="BI95" i="8"/>
  <c r="DL95" i="8" s="1"/>
  <c r="BF95" i="8"/>
  <c r="BE95" i="8"/>
  <c r="AU103" i="8"/>
  <c r="DH103" i="8" s="1"/>
  <c r="BB103" i="8"/>
  <c r="AT103" i="8"/>
  <c r="DG103" i="8" s="1"/>
  <c r="BA103" i="8"/>
  <c r="AS103" i="8"/>
  <c r="AZ103" i="8"/>
  <c r="AR103" i="8"/>
  <c r="AY103" i="8"/>
  <c r="AQ103" i="8"/>
  <c r="AX103" i="8"/>
  <c r="DI103" i="8" s="1"/>
  <c r="AP103" i="8"/>
  <c r="DF103" i="8" s="1"/>
  <c r="AW103" i="8"/>
  <c r="AO103" i="8"/>
  <c r="AV103" i="8"/>
  <c r="CB50" i="8"/>
  <c r="BT50" i="8"/>
  <c r="CA50" i="8"/>
  <c r="BS50" i="8"/>
  <c r="BZ50" i="8"/>
  <c r="DQ50" i="8" s="1"/>
  <c r="BR50" i="8"/>
  <c r="DN50" i="8" s="1"/>
  <c r="BY50" i="8"/>
  <c r="BQ50" i="8"/>
  <c r="BX50" i="8"/>
  <c r="BW50" i="8"/>
  <c r="DP50" i="8" s="1"/>
  <c r="BV50" i="8"/>
  <c r="DO50" i="8" s="1"/>
  <c r="CC50" i="8"/>
  <c r="BU50" i="8"/>
  <c r="CD50" i="8"/>
  <c r="CC100" i="8"/>
  <c r="BU100" i="8"/>
  <c r="CB100" i="8"/>
  <c r="BT100" i="8"/>
  <c r="CA100" i="8"/>
  <c r="BS100" i="8"/>
  <c r="BZ100" i="8"/>
  <c r="DQ100" i="8" s="1"/>
  <c r="BR100" i="8"/>
  <c r="DN100" i="8" s="1"/>
  <c r="BY100" i="8"/>
  <c r="BQ100" i="8"/>
  <c r="BX100" i="8"/>
  <c r="BW100" i="8"/>
  <c r="DP100" i="8" s="1"/>
  <c r="CD100" i="8"/>
  <c r="BV100" i="8"/>
  <c r="DO100" i="8" s="1"/>
  <c r="AI96" i="8"/>
  <c r="AA96" i="8"/>
  <c r="AH96" i="8"/>
  <c r="AG96" i="8"/>
  <c r="DD96" i="8" s="1"/>
  <c r="AN96" i="8"/>
  <c r="AF96" i="8"/>
  <c r="DC96" i="8" s="1"/>
  <c r="AM96" i="8"/>
  <c r="AE96" i="8"/>
  <c r="AL96" i="8"/>
  <c r="AD96" i="8"/>
  <c r="AK96" i="8"/>
  <c r="AC96" i="8"/>
  <c r="AJ96" i="8"/>
  <c r="DE96" i="8" s="1"/>
  <c r="AB96" i="8"/>
  <c r="DB96" i="8" s="1"/>
  <c r="AV54" i="8"/>
  <c r="AU54" i="8"/>
  <c r="DH54" i="8" s="1"/>
  <c r="AT54" i="8"/>
  <c r="DG54" i="8" s="1"/>
  <c r="BA54" i="8"/>
  <c r="AS54" i="8"/>
  <c r="AZ54" i="8"/>
  <c r="AR54" i="8"/>
  <c r="AY54" i="8"/>
  <c r="AQ54" i="8"/>
  <c r="AX54" i="8"/>
  <c r="DI54" i="8" s="1"/>
  <c r="AP54" i="8"/>
  <c r="DF54" i="8" s="1"/>
  <c r="AO54" i="8"/>
  <c r="AW54" i="8"/>
  <c r="BB54" i="8"/>
  <c r="CC104" i="8"/>
  <c r="BU104" i="8"/>
  <c r="CB104" i="8"/>
  <c r="BT104" i="8"/>
  <c r="CA104" i="8"/>
  <c r="BS104" i="8"/>
  <c r="BZ104" i="8"/>
  <c r="DQ104" i="8" s="1"/>
  <c r="BR104" i="8"/>
  <c r="DN104" i="8" s="1"/>
  <c r="BY104" i="8"/>
  <c r="BQ104" i="8"/>
  <c r="BX104" i="8"/>
  <c r="BW104" i="8"/>
  <c r="DP104" i="8" s="1"/>
  <c r="CD104" i="8"/>
  <c r="BV104" i="8"/>
  <c r="DO104" i="8" s="1"/>
  <c r="X102" i="8"/>
  <c r="P102" i="8"/>
  <c r="W102" i="8"/>
  <c r="O102" i="8"/>
  <c r="V102" i="8"/>
  <c r="DA102" i="8" s="1"/>
  <c r="N102" i="8"/>
  <c r="CX102" i="8" s="1"/>
  <c r="T102" i="8"/>
  <c r="S102" i="8"/>
  <c r="CZ102" i="8" s="1"/>
  <c r="M102" i="8"/>
  <c r="Q102" i="8"/>
  <c r="R102" i="8"/>
  <c r="CY102" i="8" s="1"/>
  <c r="Z102" i="8"/>
  <c r="Y102" i="8"/>
  <c r="U102" i="8"/>
  <c r="AF55" i="8"/>
  <c r="DC55" i="8" s="1"/>
  <c r="AM55" i="8"/>
  <c r="AE55" i="8"/>
  <c r="AL55" i="8"/>
  <c r="AD55" i="8"/>
  <c r="AK55" i="8"/>
  <c r="AC55" i="8"/>
  <c r="AJ55" i="8"/>
  <c r="DE55" i="8" s="1"/>
  <c r="AB55" i="8"/>
  <c r="DB55" i="8" s="1"/>
  <c r="AI55" i="8"/>
  <c r="AA55" i="8"/>
  <c r="AH55" i="8"/>
  <c r="AG55" i="8"/>
  <c r="DD55" i="8" s="1"/>
  <c r="AN55" i="8"/>
  <c r="AK105" i="8"/>
  <c r="AC105" i="8"/>
  <c r="AJ105" i="8"/>
  <c r="DE105" i="8" s="1"/>
  <c r="AB105" i="8"/>
  <c r="DB105" i="8" s="1"/>
  <c r="AI105" i="8"/>
  <c r="AA105" i="8"/>
  <c r="AH105" i="8"/>
  <c r="AG105" i="8"/>
  <c r="DD105" i="8" s="1"/>
  <c r="AN105" i="8"/>
  <c r="AF105" i="8"/>
  <c r="DC105" i="8" s="1"/>
  <c r="AM105" i="8"/>
  <c r="AE105" i="8"/>
  <c r="AL105" i="8"/>
  <c r="AD105" i="8"/>
  <c r="AT56" i="8"/>
  <c r="DG56" i="8" s="1"/>
  <c r="BA56" i="8"/>
  <c r="AS56" i="8"/>
  <c r="AZ56" i="8"/>
  <c r="AR56" i="8"/>
  <c r="AY56" i="8"/>
  <c r="AQ56" i="8"/>
  <c r="AX56" i="8"/>
  <c r="DI56" i="8" s="1"/>
  <c r="AP56" i="8"/>
  <c r="DF56" i="8" s="1"/>
  <c r="AW56" i="8"/>
  <c r="AO56" i="8"/>
  <c r="AV56" i="8"/>
  <c r="AU56" i="8"/>
  <c r="DH56" i="8" s="1"/>
  <c r="BB56" i="8"/>
  <c r="BY49" i="8"/>
  <c r="BQ49" i="8"/>
  <c r="BX49" i="8"/>
  <c r="BW49" i="8"/>
  <c r="DP49" i="8" s="1"/>
  <c r="BV49" i="8"/>
  <c r="DO49" i="8" s="1"/>
  <c r="CC49" i="8"/>
  <c r="BU49" i="8"/>
  <c r="CB49" i="8"/>
  <c r="BT49" i="8"/>
  <c r="CA49" i="8"/>
  <c r="BS49" i="8"/>
  <c r="BZ49" i="8"/>
  <c r="DQ49" i="8" s="1"/>
  <c r="BR49" i="8"/>
  <c r="DN49" i="8" s="1"/>
  <c r="CD49" i="8"/>
  <c r="N99" i="8"/>
  <c r="CX99" i="8" s="1"/>
  <c r="BK45" i="8"/>
  <c r="BC45" i="8"/>
  <c r="BJ45" i="8"/>
  <c r="BI45" i="8"/>
  <c r="DL45" i="8" s="1"/>
  <c r="BH45" i="8"/>
  <c r="DK45" i="8" s="1"/>
  <c r="BO45" i="8"/>
  <c r="BG45" i="8"/>
  <c r="BN45" i="8"/>
  <c r="BF45" i="8"/>
  <c r="BM45" i="8"/>
  <c r="BE45" i="8"/>
  <c r="BL45" i="8"/>
  <c r="DM45" i="8" s="1"/>
  <c r="BD45" i="8"/>
  <c r="DJ45" i="8" s="1"/>
  <c r="BP45" i="8"/>
  <c r="BM51" i="8"/>
  <c r="BE51" i="8"/>
  <c r="BL51" i="8"/>
  <c r="DM51" i="8" s="1"/>
  <c r="BD51" i="8"/>
  <c r="DJ51" i="8" s="1"/>
  <c r="BK51" i="8"/>
  <c r="BC51" i="8"/>
  <c r="BJ51" i="8"/>
  <c r="BI51" i="8"/>
  <c r="DL51" i="8" s="1"/>
  <c r="BH51" i="8"/>
  <c r="DK51" i="8" s="1"/>
  <c r="BO51" i="8"/>
  <c r="BG51" i="8"/>
  <c r="BN51" i="8"/>
  <c r="BF51" i="8"/>
  <c r="BP51" i="8"/>
  <c r="AY101" i="8"/>
  <c r="AQ101" i="8"/>
  <c r="AX101" i="8"/>
  <c r="DI101" i="8" s="1"/>
  <c r="AP101" i="8"/>
  <c r="DF101" i="8" s="1"/>
  <c r="AW101" i="8"/>
  <c r="AO101" i="8"/>
  <c r="AV101" i="8"/>
  <c r="AU101" i="8"/>
  <c r="DH101" i="8" s="1"/>
  <c r="BB101" i="8"/>
  <c r="AT101" i="8"/>
  <c r="DG101" i="8" s="1"/>
  <c r="BA101" i="8"/>
  <c r="AS101" i="8"/>
  <c r="AZ101" i="8"/>
  <c r="AR101" i="8"/>
  <c r="AI48" i="8"/>
  <c r="AA48" i="8"/>
  <c r="AH48" i="8"/>
  <c r="AG48" i="8"/>
  <c r="DD48" i="8" s="1"/>
  <c r="AF48" i="8"/>
  <c r="DC48" i="8" s="1"/>
  <c r="AM48" i="8"/>
  <c r="AE48" i="8"/>
  <c r="AL48" i="8"/>
  <c r="AD48" i="8"/>
  <c r="AJ48" i="8"/>
  <c r="DE48" i="8" s="1"/>
  <c r="AC48" i="8"/>
  <c r="AB48" i="8"/>
  <c r="DB48" i="8" s="1"/>
  <c r="AK48" i="8"/>
  <c r="AN48" i="8"/>
  <c r="BX46" i="8"/>
  <c r="BW46" i="8"/>
  <c r="DP46" i="8" s="1"/>
  <c r="BV46" i="8"/>
  <c r="DO46" i="8" s="1"/>
  <c r="CC46" i="8"/>
  <c r="BU46" i="8"/>
  <c r="CB46" i="8"/>
  <c r="BT46" i="8"/>
  <c r="CA46" i="8"/>
  <c r="BS46" i="8"/>
  <c r="BZ46" i="8"/>
  <c r="DQ46" i="8" s="1"/>
  <c r="BR46" i="8"/>
  <c r="DN46" i="8" s="1"/>
  <c r="BY46" i="8"/>
  <c r="BQ46" i="8"/>
  <c r="CD46" i="8"/>
  <c r="BI105" i="8"/>
  <c r="DL105" i="8" s="1"/>
  <c r="BP105" i="8"/>
  <c r="BH105" i="8"/>
  <c r="DK105" i="8" s="1"/>
  <c r="BO105" i="8"/>
  <c r="BG105" i="8"/>
  <c r="BN105" i="8"/>
  <c r="BF105" i="8"/>
  <c r="BM105" i="8"/>
  <c r="BE105" i="8"/>
  <c r="BL105" i="8"/>
  <c r="DM105" i="8" s="1"/>
  <c r="BD105" i="8"/>
  <c r="DJ105" i="8" s="1"/>
  <c r="BK105" i="8"/>
  <c r="BC105" i="8"/>
  <c r="BJ105" i="8"/>
  <c r="M51" i="8"/>
  <c r="N51" i="8"/>
  <c r="CX51" i="8" s="1"/>
  <c r="R51" i="8"/>
  <c r="CY51" i="8" s="1"/>
  <c r="Y51" i="8"/>
  <c r="Q51" i="8"/>
  <c r="X51" i="8"/>
  <c r="P51" i="8"/>
  <c r="W51" i="8"/>
  <c r="O51" i="8"/>
  <c r="U51" i="8"/>
  <c r="T51" i="8"/>
  <c r="S51" i="8"/>
  <c r="CZ51" i="8" s="1"/>
  <c r="V51" i="8"/>
  <c r="DA51" i="8" s="1"/>
  <c r="Z51" i="8"/>
  <c r="CA103" i="8"/>
  <c r="BS103" i="8"/>
  <c r="BZ103" i="8"/>
  <c r="DQ103" i="8" s="1"/>
  <c r="BR103" i="8"/>
  <c r="DN103" i="8" s="1"/>
  <c r="BY103" i="8"/>
  <c r="BQ103" i="8"/>
  <c r="BX103" i="8"/>
  <c r="BW103" i="8"/>
  <c r="DP103" i="8" s="1"/>
  <c r="CD103" i="8"/>
  <c r="BV103" i="8"/>
  <c r="DO103" i="8" s="1"/>
  <c r="CC103" i="8"/>
  <c r="BU103" i="8"/>
  <c r="CB103" i="8"/>
  <c r="BT103" i="8"/>
  <c r="BJ50" i="8"/>
  <c r="BI50" i="8"/>
  <c r="DL50" i="8" s="1"/>
  <c r="BH50" i="8"/>
  <c r="DK50" i="8" s="1"/>
  <c r="BO50" i="8"/>
  <c r="BG50" i="8"/>
  <c r="BN50" i="8"/>
  <c r="BF50" i="8"/>
  <c r="BM50" i="8"/>
  <c r="BE50" i="8"/>
  <c r="BL50" i="8"/>
  <c r="DM50" i="8" s="1"/>
  <c r="BD50" i="8"/>
  <c r="DJ50" i="8" s="1"/>
  <c r="BK50" i="8"/>
  <c r="BC50" i="8"/>
  <c r="BP50" i="8"/>
  <c r="AV46" i="8"/>
  <c r="AU46" i="8"/>
  <c r="DH46" i="8" s="1"/>
  <c r="AT46" i="8"/>
  <c r="DG46" i="8" s="1"/>
  <c r="BA46" i="8"/>
  <c r="AS46" i="8"/>
  <c r="AZ46" i="8"/>
  <c r="AR46" i="8"/>
  <c r="AY46" i="8"/>
  <c r="AQ46" i="8"/>
  <c r="AX46" i="8"/>
  <c r="DI46" i="8" s="1"/>
  <c r="AP46" i="8"/>
  <c r="DF46" i="8" s="1"/>
  <c r="AW46" i="8"/>
  <c r="AO46" i="8"/>
  <c r="BB46" i="8"/>
  <c r="AW96" i="8"/>
  <c r="AO96" i="8"/>
  <c r="AV96" i="8"/>
  <c r="AU96" i="8"/>
  <c r="DH96" i="8" s="1"/>
  <c r="BB96" i="8"/>
  <c r="AT96" i="8"/>
  <c r="DG96" i="8" s="1"/>
  <c r="BA96" i="8"/>
  <c r="AS96" i="8"/>
  <c r="AZ96" i="8"/>
  <c r="AR96" i="8"/>
  <c r="AY96" i="8"/>
  <c r="AQ96" i="8"/>
  <c r="AX96" i="8"/>
  <c r="DI96" i="8" s="1"/>
  <c r="AP96" i="8"/>
  <c r="DF96" i="8" s="1"/>
  <c r="BX54" i="8"/>
  <c r="BW54" i="8"/>
  <c r="DP54" i="8" s="1"/>
  <c r="BV54" i="8"/>
  <c r="DO54" i="8" s="1"/>
  <c r="CC54" i="8"/>
  <c r="BU54" i="8"/>
  <c r="CB54" i="8"/>
  <c r="BT54" i="8"/>
  <c r="CA54" i="8"/>
  <c r="BS54" i="8"/>
  <c r="BZ54" i="8"/>
  <c r="DQ54" i="8" s="1"/>
  <c r="BR54" i="8"/>
  <c r="DN54" i="8" s="1"/>
  <c r="BY54" i="8"/>
  <c r="BQ54" i="8"/>
  <c r="CD54" i="8"/>
  <c r="BO104" i="8"/>
  <c r="BG104" i="8"/>
  <c r="BN104" i="8"/>
  <c r="BF104" i="8"/>
  <c r="BM104" i="8"/>
  <c r="BE104" i="8"/>
  <c r="BL104" i="8"/>
  <c r="DM104" i="8" s="1"/>
  <c r="BD104" i="8"/>
  <c r="DJ104" i="8" s="1"/>
  <c r="BK104" i="8"/>
  <c r="BC104" i="8"/>
  <c r="BJ104" i="8"/>
  <c r="BI104" i="8"/>
  <c r="DL104" i="8" s="1"/>
  <c r="BP104" i="8"/>
  <c r="BH104" i="8"/>
  <c r="DK104" i="8" s="1"/>
  <c r="BW97" i="8"/>
  <c r="DP97" i="8" s="1"/>
  <c r="CD97" i="8"/>
  <c r="BV97" i="8"/>
  <c r="DO97" i="8" s="1"/>
  <c r="CC97" i="8"/>
  <c r="BU97" i="8"/>
  <c r="CB97" i="8"/>
  <c r="BT97" i="8"/>
  <c r="CA97" i="8"/>
  <c r="BS97" i="8"/>
  <c r="BZ97" i="8"/>
  <c r="DQ97" i="8" s="1"/>
  <c r="BR97" i="8"/>
  <c r="DN97" i="8" s="1"/>
  <c r="BY97" i="8"/>
  <c r="BQ97" i="8"/>
  <c r="BX97" i="8"/>
  <c r="AX52" i="8"/>
  <c r="DI52" i="8" s="1"/>
  <c r="AP52" i="8"/>
  <c r="DF52" i="8" s="1"/>
  <c r="AW52" i="8"/>
  <c r="AO52" i="8"/>
  <c r="AV52" i="8"/>
  <c r="AU52" i="8"/>
  <c r="DH52" i="8" s="1"/>
  <c r="AT52" i="8"/>
  <c r="DG52" i="8" s="1"/>
  <c r="BA52" i="8"/>
  <c r="AS52" i="8"/>
  <c r="AZ52" i="8"/>
  <c r="AR52" i="8"/>
  <c r="AY52" i="8"/>
  <c r="AQ52" i="8"/>
  <c r="BB52" i="8"/>
  <c r="BK102" i="8"/>
  <c r="BC102" i="8"/>
  <c r="BJ102" i="8"/>
  <c r="BI102" i="8"/>
  <c r="DL102" i="8" s="1"/>
  <c r="BP102" i="8"/>
  <c r="BH102" i="8"/>
  <c r="DK102" i="8" s="1"/>
  <c r="BO102" i="8"/>
  <c r="BG102" i="8"/>
  <c r="BN102" i="8"/>
  <c r="BF102" i="8"/>
  <c r="BM102" i="8"/>
  <c r="BE102" i="8"/>
  <c r="BL102" i="8"/>
  <c r="DM102" i="8" s="1"/>
  <c r="BD102" i="8"/>
  <c r="DJ102" i="8" s="1"/>
  <c r="V55" i="8"/>
  <c r="DA55" i="8" s="1"/>
  <c r="N55" i="8"/>
  <c r="CX55" i="8" s="1"/>
  <c r="U55" i="8"/>
  <c r="M55" i="8"/>
  <c r="T55" i="8"/>
  <c r="S55" i="8"/>
  <c r="CZ55" i="8" s="1"/>
  <c r="Y55" i="8"/>
  <c r="Q55" i="8"/>
  <c r="W55" i="8"/>
  <c r="R55" i="8"/>
  <c r="CY55" i="8" s="1"/>
  <c r="P55" i="8"/>
  <c r="O55" i="8"/>
  <c r="X55" i="8"/>
  <c r="Z55" i="8"/>
  <c r="BW105" i="8"/>
  <c r="DP105" i="8" s="1"/>
  <c r="CD105" i="8"/>
  <c r="BV105" i="8"/>
  <c r="DO105" i="8" s="1"/>
  <c r="CC105" i="8"/>
  <c r="BU105" i="8"/>
  <c r="CB105" i="8"/>
  <c r="BT105" i="8"/>
  <c r="CA105" i="8"/>
  <c r="BS105" i="8"/>
  <c r="BZ105" i="8"/>
  <c r="DQ105" i="8" s="1"/>
  <c r="BR105" i="8"/>
  <c r="DN105" i="8" s="1"/>
  <c r="BY105" i="8"/>
  <c r="BQ105" i="8"/>
  <c r="BX105" i="8"/>
  <c r="T49" i="8"/>
  <c r="S49" i="8"/>
  <c r="CZ49" i="8" s="1"/>
  <c r="R49" i="8"/>
  <c r="CY49" i="8" s="1"/>
  <c r="Q49" i="8"/>
  <c r="W49" i="8"/>
  <c r="Y49" i="8"/>
  <c r="O49" i="8"/>
  <c r="X49" i="8"/>
  <c r="P49" i="8"/>
  <c r="V49" i="8"/>
  <c r="DA49" i="8" s="1"/>
  <c r="N49" i="8"/>
  <c r="CX49" i="8" s="1"/>
  <c r="U49" i="8"/>
  <c r="M49" i="8"/>
  <c r="Z49" i="8"/>
  <c r="AU99" i="8"/>
  <c r="DH99" i="8" s="1"/>
  <c r="BB99" i="8"/>
  <c r="AT99" i="8"/>
  <c r="DG99" i="8" s="1"/>
  <c r="BA99" i="8"/>
  <c r="AS99" i="8"/>
  <c r="AZ99" i="8"/>
  <c r="AR99" i="8"/>
  <c r="AY99" i="8"/>
  <c r="AQ99" i="8"/>
  <c r="AX99" i="8"/>
  <c r="DI99" i="8" s="1"/>
  <c r="AP99" i="8"/>
  <c r="DF99" i="8" s="1"/>
  <c r="AW99" i="8"/>
  <c r="AO99" i="8"/>
  <c r="AV99" i="8"/>
  <c r="Z95" i="8"/>
  <c r="R95" i="8"/>
  <c r="CY95" i="8" s="1"/>
  <c r="Y95" i="8"/>
  <c r="Q95" i="8"/>
  <c r="X95" i="8"/>
  <c r="P95" i="8"/>
  <c r="V95" i="8"/>
  <c r="DA95" i="8" s="1"/>
  <c r="N95" i="8"/>
  <c r="CX95" i="8" s="1"/>
  <c r="U95" i="8"/>
  <c r="M95" i="8"/>
  <c r="W95" i="8"/>
  <c r="S95" i="8"/>
  <c r="CZ95" i="8" s="1"/>
  <c r="T95" i="8"/>
  <c r="O95" i="8"/>
  <c r="AJ51" i="8"/>
  <c r="DE51" i="8" s="1"/>
  <c r="AB51" i="8"/>
  <c r="DB51" i="8" s="1"/>
  <c r="AI51" i="8"/>
  <c r="AA51" i="8"/>
  <c r="AH51" i="8"/>
  <c r="AG51" i="8"/>
  <c r="DD51" i="8" s="1"/>
  <c r="AF51" i="8"/>
  <c r="DC51" i="8" s="1"/>
  <c r="AM51" i="8"/>
  <c r="AE51" i="8"/>
  <c r="AC51" i="8"/>
  <c r="AL51" i="8"/>
  <c r="AK51" i="8"/>
  <c r="AD51" i="8"/>
  <c r="AN51" i="8"/>
  <c r="AT48" i="8"/>
  <c r="DG48" i="8" s="1"/>
  <c r="BA48" i="8"/>
  <c r="AS48" i="8"/>
  <c r="AZ48" i="8"/>
  <c r="AR48" i="8"/>
  <c r="AY48" i="8"/>
  <c r="AQ48" i="8"/>
  <c r="AX48" i="8"/>
  <c r="DI48" i="8" s="1"/>
  <c r="AP48" i="8"/>
  <c r="DF48" i="8" s="1"/>
  <c r="AW48" i="8"/>
  <c r="AO48" i="8"/>
  <c r="AV48" i="8"/>
  <c r="AU48" i="8"/>
  <c r="DH48" i="8" s="1"/>
  <c r="BB48" i="8"/>
  <c r="U104" i="8"/>
  <c r="M104" i="8"/>
  <c r="T104" i="8"/>
  <c r="S104" i="8"/>
  <c r="CZ104" i="8" s="1"/>
  <c r="Z104" i="8"/>
  <c r="R104" i="8"/>
  <c r="CY104" i="8" s="1"/>
  <c r="Y104" i="8"/>
  <c r="Q104" i="8"/>
  <c r="X104" i="8"/>
  <c r="P104" i="8"/>
  <c r="W104" i="8"/>
  <c r="O104" i="8"/>
  <c r="N104" i="8"/>
  <c r="CX104" i="8" s="1"/>
  <c r="V104" i="8"/>
  <c r="DA104" i="8" s="1"/>
  <c r="BV56" i="8"/>
  <c r="DO56" i="8" s="1"/>
  <c r="CC56" i="8"/>
  <c r="BU56" i="8"/>
  <c r="CB56" i="8"/>
  <c r="BT56" i="8"/>
  <c r="CA56" i="8"/>
  <c r="BS56" i="8"/>
  <c r="BZ56" i="8"/>
  <c r="DQ56" i="8" s="1"/>
  <c r="BR56" i="8"/>
  <c r="DN56" i="8" s="1"/>
  <c r="BY56" i="8"/>
  <c r="BQ56" i="8"/>
  <c r="BX56" i="8"/>
  <c r="BW56" i="8"/>
  <c r="DP56" i="8" s="1"/>
  <c r="CD56" i="8"/>
  <c r="AG99" i="8"/>
  <c r="DD99" i="8" s="1"/>
  <c r="AN99" i="8"/>
  <c r="AF99" i="8"/>
  <c r="DC99" i="8" s="1"/>
  <c r="AM99" i="8"/>
  <c r="AE99" i="8"/>
  <c r="AL99" i="8"/>
  <c r="AD99" i="8"/>
  <c r="AK99" i="8"/>
  <c r="AC99" i="8"/>
  <c r="AJ99" i="8"/>
  <c r="DE99" i="8" s="1"/>
  <c r="AB99" i="8"/>
  <c r="DB99" i="8" s="1"/>
  <c r="AI99" i="8"/>
  <c r="AA99" i="8"/>
  <c r="AH99" i="8"/>
  <c r="CC53" i="8"/>
  <c r="BU53" i="8"/>
  <c r="CB53" i="8"/>
  <c r="BT53" i="8"/>
  <c r="CA53" i="8"/>
  <c r="BS53" i="8"/>
  <c r="BZ53" i="8"/>
  <c r="DQ53" i="8" s="1"/>
  <c r="BR53" i="8"/>
  <c r="DN53" i="8" s="1"/>
  <c r="BY53" i="8"/>
  <c r="BQ53" i="8"/>
  <c r="BX53" i="8"/>
  <c r="BW53" i="8"/>
  <c r="DP53" i="8" s="1"/>
  <c r="BV53" i="8"/>
  <c r="DO53" i="8" s="1"/>
  <c r="CD53" i="8"/>
  <c r="AG103" i="8"/>
  <c r="DD103" i="8" s="1"/>
  <c r="AN103" i="8"/>
  <c r="AF103" i="8"/>
  <c r="DC103" i="8" s="1"/>
  <c r="AM103" i="8"/>
  <c r="AE103" i="8"/>
  <c r="AL103" i="8"/>
  <c r="AD103" i="8"/>
  <c r="AK103" i="8"/>
  <c r="AC103" i="8"/>
  <c r="AJ103" i="8"/>
  <c r="DE103" i="8" s="1"/>
  <c r="AB103" i="8"/>
  <c r="DB103" i="8" s="1"/>
  <c r="AI103" i="8"/>
  <c r="AA103" i="8"/>
  <c r="AH103" i="8"/>
  <c r="S46" i="8"/>
  <c r="CZ46" i="8" s="1"/>
  <c r="N46" i="8"/>
  <c r="CX46" i="8" s="1"/>
  <c r="R46" i="8"/>
  <c r="CY46" i="8" s="1"/>
  <c r="X46" i="8"/>
  <c r="V46" i="8"/>
  <c r="DA46" i="8" s="1"/>
  <c r="Y46" i="8"/>
  <c r="Q46" i="8"/>
  <c r="P46" i="8"/>
  <c r="W46" i="8"/>
  <c r="O46" i="8"/>
  <c r="U46" i="8"/>
  <c r="M46" i="8"/>
  <c r="T46" i="8"/>
  <c r="Z46" i="8"/>
  <c r="CC96" i="8"/>
  <c r="BU96" i="8"/>
  <c r="CB96" i="8"/>
  <c r="BT96" i="8"/>
  <c r="CA96" i="8"/>
  <c r="BS96" i="8"/>
  <c r="BZ96" i="8"/>
  <c r="DQ96" i="8" s="1"/>
  <c r="BR96" i="8"/>
  <c r="DN96" i="8" s="1"/>
  <c r="BY96" i="8"/>
  <c r="BQ96" i="8"/>
  <c r="BX96" i="8"/>
  <c r="BW96" i="8"/>
  <c r="DP96" i="8" s="1"/>
  <c r="CD96" i="8"/>
  <c r="BV96" i="8"/>
  <c r="DO96" i="8" s="1"/>
  <c r="AK54" i="8"/>
  <c r="AC54" i="8"/>
  <c r="AJ54" i="8"/>
  <c r="DE54" i="8" s="1"/>
  <c r="AB54" i="8"/>
  <c r="DB54" i="8" s="1"/>
  <c r="AI54" i="8"/>
  <c r="AA54" i="8"/>
  <c r="AH54" i="8"/>
  <c r="AG54" i="8"/>
  <c r="DD54" i="8" s="1"/>
  <c r="AF54" i="8"/>
  <c r="DC54" i="8" s="1"/>
  <c r="AM54" i="8"/>
  <c r="AL54" i="8"/>
  <c r="AD54" i="8"/>
  <c r="AE54" i="8"/>
  <c r="AN54" i="8"/>
  <c r="Y97" i="8"/>
  <c r="BZ52" i="8"/>
  <c r="DQ52" i="8" s="1"/>
  <c r="BR52" i="8"/>
  <c r="DN52" i="8" s="1"/>
  <c r="BY52" i="8"/>
  <c r="BQ52" i="8"/>
  <c r="BX52" i="8"/>
  <c r="BW52" i="8"/>
  <c r="DP52" i="8" s="1"/>
  <c r="BV52" i="8"/>
  <c r="DO52" i="8" s="1"/>
  <c r="CC52" i="8"/>
  <c r="BU52" i="8"/>
  <c r="CB52" i="8"/>
  <c r="BT52" i="8"/>
  <c r="CA52" i="8"/>
  <c r="BS52" i="8"/>
  <c r="CD52" i="8"/>
  <c r="AY55" i="8"/>
  <c r="AQ55" i="8"/>
  <c r="AX55" i="8"/>
  <c r="DI55" i="8" s="1"/>
  <c r="AP55" i="8"/>
  <c r="DF55" i="8" s="1"/>
  <c r="AW55" i="8"/>
  <c r="AO55" i="8"/>
  <c r="AV55" i="8"/>
  <c r="AU55" i="8"/>
  <c r="DH55" i="8" s="1"/>
  <c r="AT55" i="8"/>
  <c r="DG55" i="8" s="1"/>
  <c r="BA55" i="8"/>
  <c r="AS55" i="8"/>
  <c r="AZ55" i="8"/>
  <c r="AR55" i="8"/>
  <c r="BB55" i="8"/>
  <c r="AM106" i="8"/>
  <c r="AE106" i="8"/>
  <c r="AL106" i="8"/>
  <c r="AD106" i="8"/>
  <c r="AK106" i="8"/>
  <c r="AC106" i="8"/>
  <c r="AJ106" i="8"/>
  <c r="DE106" i="8" s="1"/>
  <c r="AB106" i="8"/>
  <c r="DB106" i="8" s="1"/>
  <c r="AI106" i="8"/>
  <c r="AA106" i="8"/>
  <c r="AH106" i="8"/>
  <c r="AG106" i="8"/>
  <c r="DD106" i="8" s="1"/>
  <c r="AF106" i="8"/>
  <c r="DC106" i="8" s="1"/>
  <c r="AN106" i="8"/>
  <c r="AW49" i="8"/>
  <c r="AO49" i="8"/>
  <c r="AV49" i="8"/>
  <c r="AU49" i="8"/>
  <c r="DH49" i="8" s="1"/>
  <c r="AT49" i="8"/>
  <c r="DG49" i="8" s="1"/>
  <c r="BA49" i="8"/>
  <c r="AS49" i="8"/>
  <c r="AZ49" i="8"/>
  <c r="AR49" i="8"/>
  <c r="AY49" i="8"/>
  <c r="AQ49" i="8"/>
  <c r="AP49" i="8"/>
  <c r="DF49" i="8" s="1"/>
  <c r="AX49" i="8"/>
  <c r="DI49" i="8" s="1"/>
  <c r="BB49" i="8"/>
  <c r="CA99" i="8"/>
  <c r="BS99" i="8"/>
  <c r="BZ99" i="8"/>
  <c r="DQ99" i="8" s="1"/>
  <c r="BR99" i="8"/>
  <c r="DN99" i="8" s="1"/>
  <c r="BY99" i="8"/>
  <c r="BQ99" i="8"/>
  <c r="BX99" i="8"/>
  <c r="BW99" i="8"/>
  <c r="DP99" i="8" s="1"/>
  <c r="CD99" i="8"/>
  <c r="BV99" i="8"/>
  <c r="DO99" i="8" s="1"/>
  <c r="CC99" i="8"/>
  <c r="BU99" i="8"/>
  <c r="CB99" i="8"/>
  <c r="BT99" i="8"/>
  <c r="AU95" i="8"/>
  <c r="DH95" i="8" s="1"/>
  <c r="BB95" i="8"/>
  <c r="AT95" i="8"/>
  <c r="DG95" i="8" s="1"/>
  <c r="BA95" i="8"/>
  <c r="AS95" i="8"/>
  <c r="AZ95" i="8"/>
  <c r="AR95" i="8"/>
  <c r="AY95" i="8"/>
  <c r="AQ95" i="8"/>
  <c r="AX95" i="8"/>
  <c r="DI95" i="8" s="1"/>
  <c r="AP95" i="8"/>
  <c r="DF95" i="8" s="1"/>
  <c r="AW95" i="8"/>
  <c r="AO95" i="8"/>
  <c r="AV95" i="8"/>
  <c r="AU51" i="8"/>
  <c r="DH51" i="8" s="1"/>
  <c r="AT51" i="8"/>
  <c r="DG51" i="8" s="1"/>
  <c r="BA51" i="8"/>
  <c r="AS51" i="8"/>
  <c r="AZ51" i="8"/>
  <c r="AR51" i="8"/>
  <c r="AY51" i="8"/>
  <c r="AQ51" i="8"/>
  <c r="AX51" i="8"/>
  <c r="DI51" i="8" s="1"/>
  <c r="AP51" i="8"/>
  <c r="DF51" i="8" s="1"/>
  <c r="AW51" i="8"/>
  <c r="AO51" i="8"/>
  <c r="AV51" i="8"/>
  <c r="BB51" i="8"/>
  <c r="AK101" i="8"/>
  <c r="AC101" i="8"/>
  <c r="AJ101" i="8"/>
  <c r="DE101" i="8" s="1"/>
  <c r="AB101" i="8"/>
  <c r="DB101" i="8" s="1"/>
  <c r="AI101" i="8"/>
  <c r="AA101" i="8"/>
  <c r="AH101" i="8"/>
  <c r="AG101" i="8"/>
  <c r="DD101" i="8" s="1"/>
  <c r="AN101" i="8"/>
  <c r="AF101" i="8"/>
  <c r="DC101" i="8" s="1"/>
  <c r="AM101" i="8"/>
  <c r="AE101" i="8"/>
  <c r="AL101" i="8"/>
  <c r="AD101" i="8"/>
  <c r="X98" i="8"/>
  <c r="P98" i="8"/>
  <c r="W98" i="8"/>
  <c r="O98" i="8"/>
  <c r="V98" i="8"/>
  <c r="DA98" i="8" s="1"/>
  <c r="N98" i="8"/>
  <c r="CX98" i="8" s="1"/>
  <c r="T98" i="8"/>
  <c r="S98" i="8"/>
  <c r="CZ98" i="8" s="1"/>
  <c r="Z98" i="8"/>
  <c r="R98" i="8"/>
  <c r="CY98" i="8" s="1"/>
  <c r="Y98" i="8"/>
  <c r="U98" i="8"/>
  <c r="Q98" i="8"/>
  <c r="M98" i="8"/>
  <c r="W50" i="8"/>
  <c r="V50" i="8"/>
  <c r="DA50" i="8" s="1"/>
  <c r="N50" i="8"/>
  <c r="CX50" i="8" s="1"/>
  <c r="R50" i="8"/>
  <c r="CY50" i="8" s="1"/>
  <c r="U50" i="8"/>
  <c r="M50" i="8"/>
  <c r="T50" i="8"/>
  <c r="S50" i="8"/>
  <c r="CZ50" i="8" s="1"/>
  <c r="Y50" i="8"/>
  <c r="Q50" i="8"/>
  <c r="X50" i="8"/>
  <c r="P50" i="8"/>
  <c r="O50" i="8"/>
  <c r="Z50" i="8"/>
  <c r="M45" i="8"/>
  <c r="W45" i="8"/>
  <c r="O45" i="8"/>
  <c r="V45" i="8"/>
  <c r="DA45" i="8" s="1"/>
  <c r="N45" i="8"/>
  <c r="CX45" i="8" s="1"/>
  <c r="S45" i="8"/>
  <c r="CZ45" i="8" s="1"/>
  <c r="U45" i="8"/>
  <c r="T45" i="8"/>
  <c r="R45" i="8"/>
  <c r="CY45" i="8" s="1"/>
  <c r="X45" i="8"/>
  <c r="Y45" i="8"/>
  <c r="Q45" i="8"/>
  <c r="P45" i="8"/>
  <c r="Z45" i="8"/>
  <c r="G305" i="8"/>
  <c r="X53" i="8"/>
  <c r="P53" i="8"/>
  <c r="W53" i="8"/>
  <c r="O53" i="8"/>
  <c r="V53" i="8"/>
  <c r="DA53" i="8" s="1"/>
  <c r="N53" i="8"/>
  <c r="CX53" i="8" s="1"/>
  <c r="S53" i="8"/>
  <c r="CZ53" i="8" s="1"/>
  <c r="Y53" i="8"/>
  <c r="U53" i="8"/>
  <c r="T53" i="8"/>
  <c r="R53" i="8"/>
  <c r="CY53" i="8" s="1"/>
  <c r="Q53" i="8"/>
  <c r="M53" i="8"/>
  <c r="Z53" i="8"/>
  <c r="BM103" i="8"/>
  <c r="BE103" i="8"/>
  <c r="BL103" i="8"/>
  <c r="DM103" i="8" s="1"/>
  <c r="BD103" i="8"/>
  <c r="DJ103" i="8" s="1"/>
  <c r="BK103" i="8"/>
  <c r="BC103" i="8"/>
  <c r="BJ103" i="8"/>
  <c r="BI103" i="8"/>
  <c r="DL103" i="8" s="1"/>
  <c r="BP103" i="8"/>
  <c r="BH103" i="8"/>
  <c r="DK103" i="8" s="1"/>
  <c r="BO103" i="8"/>
  <c r="BG103" i="8"/>
  <c r="BN103" i="8"/>
  <c r="BF103" i="8"/>
  <c r="T100" i="8"/>
  <c r="S100" i="8"/>
  <c r="CZ100" i="8" s="1"/>
  <c r="Z100" i="8"/>
  <c r="R100" i="8"/>
  <c r="CY100" i="8" s="1"/>
  <c r="X100" i="8"/>
  <c r="P100" i="8"/>
  <c r="W100" i="8"/>
  <c r="O100" i="8"/>
  <c r="U100" i="8"/>
  <c r="Q100" i="8"/>
  <c r="N100" i="8"/>
  <c r="CX100" i="8" s="1"/>
  <c r="M100" i="8"/>
  <c r="Y100" i="8"/>
  <c r="V100" i="8"/>
  <c r="DA100" i="8" s="1"/>
  <c r="BN46" i="8"/>
  <c r="BF46" i="8"/>
  <c r="BM46" i="8"/>
  <c r="BE46" i="8"/>
  <c r="BL46" i="8"/>
  <c r="DM46" i="8" s="1"/>
  <c r="BD46" i="8"/>
  <c r="DJ46" i="8" s="1"/>
  <c r="BK46" i="8"/>
  <c r="BC46" i="8"/>
  <c r="BJ46" i="8"/>
  <c r="BI46" i="8"/>
  <c r="DL46" i="8" s="1"/>
  <c r="BH46" i="8"/>
  <c r="DK46" i="8" s="1"/>
  <c r="BO46" i="8"/>
  <c r="BG46" i="8"/>
  <c r="BP46" i="8"/>
  <c r="BN96" i="8"/>
  <c r="BF96" i="8"/>
  <c r="BM96" i="8"/>
  <c r="BE96" i="8"/>
  <c r="BL96" i="8"/>
  <c r="DM96" i="8" s="1"/>
  <c r="BD96" i="8"/>
  <c r="DJ96" i="8" s="1"/>
  <c r="BJ96" i="8"/>
  <c r="BI96" i="8"/>
  <c r="DL96" i="8" s="1"/>
  <c r="BG96" i="8"/>
  <c r="BC96" i="8"/>
  <c r="BP96" i="8"/>
  <c r="BO96" i="8"/>
  <c r="BK96" i="8"/>
  <c r="BH96" i="8"/>
  <c r="DK96" i="8" s="1"/>
  <c r="BN54" i="8"/>
  <c r="BF54" i="8"/>
  <c r="BM54" i="8"/>
  <c r="BE54" i="8"/>
  <c r="BL54" i="8"/>
  <c r="DM54" i="8" s="1"/>
  <c r="BD54" i="8"/>
  <c r="DJ54" i="8" s="1"/>
  <c r="BK54" i="8"/>
  <c r="BC54" i="8"/>
  <c r="BJ54" i="8"/>
  <c r="BI54" i="8"/>
  <c r="DL54" i="8" s="1"/>
  <c r="BH54" i="8"/>
  <c r="DK54" i="8" s="1"/>
  <c r="BO54" i="8"/>
  <c r="BG54" i="8"/>
  <c r="BP54" i="8"/>
  <c r="V47" i="8"/>
  <c r="DA47" i="8" s="1"/>
  <c r="U47" i="8"/>
  <c r="M47" i="8"/>
  <c r="T47" i="8"/>
  <c r="S47" i="8"/>
  <c r="CZ47" i="8" s="1"/>
  <c r="R47" i="8"/>
  <c r="CY47" i="8" s="1"/>
  <c r="Q47" i="8"/>
  <c r="X47" i="8"/>
  <c r="P47" i="8"/>
  <c r="W47" i="8"/>
  <c r="O47" i="8"/>
  <c r="N47" i="8"/>
  <c r="CX47" i="8" s="1"/>
  <c r="Y47" i="8"/>
  <c r="Z47" i="8"/>
  <c r="BP97" i="8"/>
  <c r="BH97" i="8"/>
  <c r="DK97" i="8" s="1"/>
  <c r="BO97" i="8"/>
  <c r="BG97" i="8"/>
  <c r="BN97" i="8"/>
  <c r="BF97" i="8"/>
  <c r="BL97" i="8"/>
  <c r="DM97" i="8" s="1"/>
  <c r="BD97" i="8"/>
  <c r="DJ97" i="8" s="1"/>
  <c r="BK97" i="8"/>
  <c r="BC97" i="8"/>
  <c r="BM97" i="8"/>
  <c r="BJ97" i="8"/>
  <c r="BI97" i="8"/>
  <c r="DL97" i="8" s="1"/>
  <c r="BE97" i="8"/>
  <c r="T52" i="8"/>
  <c r="X52" i="8"/>
  <c r="W52" i="8"/>
  <c r="N52" i="8"/>
  <c r="CX52" i="8" s="1"/>
  <c r="V52" i="8"/>
  <c r="DA52" i="8" s="1"/>
  <c r="M52" i="8"/>
  <c r="U52" i="8"/>
  <c r="Q52" i="8"/>
  <c r="S52" i="8"/>
  <c r="CZ52" i="8" s="1"/>
  <c r="R52" i="8"/>
  <c r="CY52" i="8" s="1"/>
  <c r="P52" i="8"/>
  <c r="Y52" i="8"/>
  <c r="O52" i="8"/>
  <c r="Z52" i="8"/>
  <c r="CA55" i="8"/>
  <c r="BS55" i="8"/>
  <c r="BZ55" i="8"/>
  <c r="DQ55" i="8" s="1"/>
  <c r="BR55" i="8"/>
  <c r="DN55" i="8" s="1"/>
  <c r="BY55" i="8"/>
  <c r="BQ55" i="8"/>
  <c r="BX55" i="8"/>
  <c r="BW55" i="8"/>
  <c r="DP55" i="8" s="1"/>
  <c r="BV55" i="8"/>
  <c r="DO55" i="8" s="1"/>
  <c r="CC55" i="8"/>
  <c r="BU55" i="8"/>
  <c r="CB55" i="8"/>
  <c r="BT55" i="8"/>
  <c r="CD55" i="8"/>
  <c r="BL56" i="8"/>
  <c r="DM56" i="8" s="1"/>
  <c r="BD56" i="8"/>
  <c r="DJ56" i="8" s="1"/>
  <c r="BK56" i="8"/>
  <c r="BC56" i="8"/>
  <c r="BJ56" i="8"/>
  <c r="BI56" i="8"/>
  <c r="DL56" i="8" s="1"/>
  <c r="BH56" i="8"/>
  <c r="DK56" i="8" s="1"/>
  <c r="BO56" i="8"/>
  <c r="BG56" i="8"/>
  <c r="BN56" i="8"/>
  <c r="BF56" i="8"/>
  <c r="BM56" i="8"/>
  <c r="BE56" i="8"/>
  <c r="BP56" i="8"/>
  <c r="BK106" i="8"/>
  <c r="BC106" i="8"/>
  <c r="BJ106" i="8"/>
  <c r="BI106" i="8"/>
  <c r="DL106" i="8" s="1"/>
  <c r="BP106" i="8"/>
  <c r="BH106" i="8"/>
  <c r="DK106" i="8" s="1"/>
  <c r="BO106" i="8"/>
  <c r="BG106" i="8"/>
  <c r="BN106" i="8"/>
  <c r="BF106" i="8"/>
  <c r="BM106" i="8"/>
  <c r="BE106" i="8"/>
  <c r="BL106" i="8"/>
  <c r="DM106" i="8" s="1"/>
  <c r="BD106" i="8"/>
  <c r="DJ106" i="8" s="1"/>
  <c r="AL49" i="8"/>
  <c r="AD49" i="8"/>
  <c r="AK49" i="8"/>
  <c r="AC49" i="8"/>
  <c r="AJ49" i="8"/>
  <c r="DE49" i="8" s="1"/>
  <c r="AB49" i="8"/>
  <c r="DB49" i="8" s="1"/>
  <c r="AI49" i="8"/>
  <c r="AA49" i="8"/>
  <c r="AH49" i="8"/>
  <c r="AG49" i="8"/>
  <c r="DD49" i="8" s="1"/>
  <c r="AF49" i="8"/>
  <c r="DC49" i="8" s="1"/>
  <c r="AM49" i="8"/>
  <c r="AE49" i="8"/>
  <c r="AN49" i="8"/>
  <c r="CA95" i="8"/>
  <c r="BS95" i="8"/>
  <c r="BZ95" i="8"/>
  <c r="DQ95" i="8" s="1"/>
  <c r="BR95" i="8"/>
  <c r="DN95" i="8" s="1"/>
  <c r="BY95" i="8"/>
  <c r="BQ95" i="8"/>
  <c r="BX95" i="8"/>
  <c r="BW95" i="8"/>
  <c r="DP95" i="8" s="1"/>
  <c r="CD95" i="8"/>
  <c r="BV95" i="8"/>
  <c r="DO95" i="8" s="1"/>
  <c r="CC95" i="8"/>
  <c r="BU95" i="8"/>
  <c r="CB95" i="8"/>
  <c r="BT95" i="8"/>
  <c r="BW51" i="8"/>
  <c r="DP51" i="8" s="1"/>
  <c r="BV51" i="8"/>
  <c r="DO51" i="8" s="1"/>
  <c r="CC51" i="8"/>
  <c r="BU51" i="8"/>
  <c r="CB51" i="8"/>
  <c r="BT51" i="8"/>
  <c r="CA51" i="8"/>
  <c r="BS51" i="8"/>
  <c r="BZ51" i="8"/>
  <c r="DQ51" i="8" s="1"/>
  <c r="BR51" i="8"/>
  <c r="DN51" i="8" s="1"/>
  <c r="BY51" i="8"/>
  <c r="BQ51" i="8"/>
  <c r="BX51" i="8"/>
  <c r="CD51" i="8"/>
  <c r="BI101" i="8"/>
  <c r="DL101" i="8" s="1"/>
  <c r="BP101" i="8"/>
  <c r="BH101" i="8"/>
  <c r="DK101" i="8" s="1"/>
  <c r="BO101" i="8"/>
  <c r="BG101" i="8"/>
  <c r="BN101" i="8"/>
  <c r="BF101" i="8"/>
  <c r="BM101" i="8"/>
  <c r="BE101" i="8"/>
  <c r="BL101" i="8"/>
  <c r="DM101" i="8" s="1"/>
  <c r="BD101" i="8"/>
  <c r="DJ101" i="8" s="1"/>
  <c r="BK101" i="8"/>
  <c r="BC101" i="8"/>
  <c r="BJ101" i="8"/>
  <c r="BJ98" i="8"/>
  <c r="BI98" i="8"/>
  <c r="DL98" i="8" s="1"/>
  <c r="BP98" i="8"/>
  <c r="BH98" i="8"/>
  <c r="DK98" i="8" s="1"/>
  <c r="BO98" i="8"/>
  <c r="BN98" i="8"/>
  <c r="BF98" i="8"/>
  <c r="BM98" i="8"/>
  <c r="BE98" i="8"/>
  <c r="BL98" i="8"/>
  <c r="DM98" i="8" s="1"/>
  <c r="BK98" i="8"/>
  <c r="BG98" i="8"/>
  <c r="BD98" i="8"/>
  <c r="DJ98" i="8" s="1"/>
  <c r="BC98" i="8"/>
  <c r="BO100" i="8"/>
  <c r="BG100" i="8"/>
  <c r="BN100" i="8"/>
  <c r="BF100" i="8"/>
  <c r="BM100" i="8"/>
  <c r="BE100" i="8"/>
  <c r="BL100" i="8"/>
  <c r="DM100" i="8" s="1"/>
  <c r="BD100" i="8"/>
  <c r="DJ100" i="8" s="1"/>
  <c r="BK100" i="8"/>
  <c r="BC100" i="8"/>
  <c r="BJ100" i="8"/>
  <c r="BI100" i="8"/>
  <c r="DL100" i="8" s="1"/>
  <c r="BH100" i="8"/>
  <c r="DK100" i="8" s="1"/>
  <c r="BP100" i="8"/>
  <c r="AM102" i="8"/>
  <c r="AE102" i="8"/>
  <c r="AL102" i="8"/>
  <c r="AD102" i="8"/>
  <c r="AK102" i="8"/>
  <c r="AC102" i="8"/>
  <c r="AJ102" i="8"/>
  <c r="DE102" i="8" s="1"/>
  <c r="AB102" i="8"/>
  <c r="DB102" i="8" s="1"/>
  <c r="AI102" i="8"/>
  <c r="AA102" i="8"/>
  <c r="AH102" i="8"/>
  <c r="AG102" i="8"/>
  <c r="DD102" i="8" s="1"/>
  <c r="AF102" i="8"/>
  <c r="DC102" i="8" s="1"/>
  <c r="AN102" i="8"/>
  <c r="BV48" i="8"/>
  <c r="DO48" i="8" s="1"/>
  <c r="CC48" i="8"/>
  <c r="BU48" i="8"/>
  <c r="CB48" i="8"/>
  <c r="BT48" i="8"/>
  <c r="CA48" i="8"/>
  <c r="BS48" i="8"/>
  <c r="BZ48" i="8"/>
  <c r="DQ48" i="8" s="1"/>
  <c r="BR48" i="8"/>
  <c r="DN48" i="8" s="1"/>
  <c r="BY48" i="8"/>
  <c r="BQ48" i="8"/>
  <c r="BX48" i="8"/>
  <c r="BW48" i="8"/>
  <c r="DP48" i="8" s="1"/>
  <c r="CD48" i="8"/>
  <c r="Q299" i="8"/>
  <c r="BA53" i="8"/>
  <c r="AS53" i="8"/>
  <c r="AZ53" i="8"/>
  <c r="AR53" i="8"/>
  <c r="AY53" i="8"/>
  <c r="AQ53" i="8"/>
  <c r="AX53" i="8"/>
  <c r="DI53" i="8" s="1"/>
  <c r="AP53" i="8"/>
  <c r="DF53" i="8" s="1"/>
  <c r="AW53" i="8"/>
  <c r="AO53" i="8"/>
  <c r="AV53" i="8"/>
  <c r="AU53" i="8"/>
  <c r="DH53" i="8" s="1"/>
  <c r="AT53" i="8"/>
  <c r="DG53" i="8" s="1"/>
  <c r="BB53" i="8"/>
  <c r="AI100" i="8"/>
  <c r="AA100" i="8"/>
  <c r="AH100" i="8"/>
  <c r="AG100" i="8"/>
  <c r="DD100" i="8" s="1"/>
  <c r="AN100" i="8"/>
  <c r="AF100" i="8"/>
  <c r="DC100" i="8" s="1"/>
  <c r="AM100" i="8"/>
  <c r="AE100" i="8"/>
  <c r="AL100" i="8"/>
  <c r="AD100" i="8"/>
  <c r="AK100" i="8"/>
  <c r="AC100" i="8"/>
  <c r="AJ100" i="8"/>
  <c r="DE100" i="8" s="1"/>
  <c r="AB100" i="8"/>
  <c r="DB100" i="8" s="1"/>
  <c r="AF47" i="8"/>
  <c r="DC47" i="8" s="1"/>
  <c r="AM47" i="8"/>
  <c r="AE47" i="8"/>
  <c r="AL47" i="8"/>
  <c r="AD47" i="8"/>
  <c r="AK47" i="8"/>
  <c r="AC47" i="8"/>
  <c r="AJ47" i="8"/>
  <c r="DE47" i="8" s="1"/>
  <c r="AB47" i="8"/>
  <c r="DB47" i="8" s="1"/>
  <c r="AI47" i="8"/>
  <c r="AA47" i="8"/>
  <c r="AH47" i="8"/>
  <c r="AG47" i="8"/>
  <c r="DD47" i="8" s="1"/>
  <c r="AN47" i="8"/>
  <c r="AK97" i="8"/>
  <c r="AC97" i="8"/>
  <c r="AJ97" i="8"/>
  <c r="DE97" i="8" s="1"/>
  <c r="AB97" i="8"/>
  <c r="DB97" i="8" s="1"/>
  <c r="AI97" i="8"/>
  <c r="AA97" i="8"/>
  <c r="AH97" i="8"/>
  <c r="AG97" i="8"/>
  <c r="DD97" i="8" s="1"/>
  <c r="AN97" i="8"/>
  <c r="AF97" i="8"/>
  <c r="DC97" i="8" s="1"/>
  <c r="AM97" i="8"/>
  <c r="AE97" i="8"/>
  <c r="AL97" i="8"/>
  <c r="AD97" i="8"/>
  <c r="AM52" i="8"/>
  <c r="AE52" i="8"/>
  <c r="AL52" i="8"/>
  <c r="AD52" i="8"/>
  <c r="AK52" i="8"/>
  <c r="AC52" i="8"/>
  <c r="AJ52" i="8"/>
  <c r="DE52" i="8" s="1"/>
  <c r="AB52" i="8"/>
  <c r="DB52" i="8" s="1"/>
  <c r="AI52" i="8"/>
  <c r="AA52" i="8"/>
  <c r="AH52" i="8"/>
  <c r="AG52" i="8"/>
  <c r="DD52" i="8" s="1"/>
  <c r="AF52" i="8"/>
  <c r="DC52" i="8" s="1"/>
  <c r="AN52" i="8"/>
  <c r="Y106" i="8"/>
  <c r="Q106" i="8"/>
  <c r="X106" i="8"/>
  <c r="P106" i="8"/>
  <c r="W106" i="8"/>
  <c r="O106" i="8"/>
  <c r="V106" i="8"/>
  <c r="DA106" i="8" s="1"/>
  <c r="N106" i="8"/>
  <c r="CX106" i="8" s="1"/>
  <c r="U106" i="8"/>
  <c r="M106" i="8"/>
  <c r="T106" i="8"/>
  <c r="S106" i="8"/>
  <c r="CZ106" i="8" s="1"/>
  <c r="Z106" i="8"/>
  <c r="R106" i="8"/>
  <c r="CY106" i="8" s="1"/>
  <c r="BO49" i="8"/>
  <c r="BG49" i="8"/>
  <c r="BN49" i="8"/>
  <c r="BF49" i="8"/>
  <c r="BM49" i="8"/>
  <c r="BE49" i="8"/>
  <c r="BL49" i="8"/>
  <c r="DM49" i="8" s="1"/>
  <c r="BD49" i="8"/>
  <c r="DJ49" i="8" s="1"/>
  <c r="BK49" i="8"/>
  <c r="BC49" i="8"/>
  <c r="BJ49" i="8"/>
  <c r="BI49" i="8"/>
  <c r="DL49" i="8" s="1"/>
  <c r="BH49" i="8"/>
  <c r="DK49" i="8" s="1"/>
  <c r="BP49" i="8"/>
  <c r="CC45" i="8"/>
  <c r="BU45" i="8"/>
  <c r="CB45" i="8"/>
  <c r="BT45" i="8"/>
  <c r="CA45" i="8"/>
  <c r="BS45" i="8"/>
  <c r="BZ45" i="8"/>
  <c r="DQ45" i="8" s="1"/>
  <c r="BR45" i="8"/>
  <c r="DN45" i="8" s="1"/>
  <c r="BY45" i="8"/>
  <c r="BQ45" i="8"/>
  <c r="BX45" i="8"/>
  <c r="BW45" i="8"/>
  <c r="DP45" i="8" s="1"/>
  <c r="BV45" i="8"/>
  <c r="DO45" i="8" s="1"/>
  <c r="CD45" i="8"/>
  <c r="AG95" i="8"/>
  <c r="DD95" i="8" s="1"/>
  <c r="AN95" i="8"/>
  <c r="AF95" i="8"/>
  <c r="DC95" i="8" s="1"/>
  <c r="AM95" i="8"/>
  <c r="AE95" i="8"/>
  <c r="AL95" i="8"/>
  <c r="AD95" i="8"/>
  <c r="AK95" i="8"/>
  <c r="AC95" i="8"/>
  <c r="AJ95" i="8"/>
  <c r="DE95" i="8" s="1"/>
  <c r="AB95" i="8"/>
  <c r="DB95" i="8" s="1"/>
  <c r="AI95" i="8"/>
  <c r="AA95" i="8"/>
  <c r="AH95" i="8"/>
  <c r="BL48" i="8"/>
  <c r="DM48" i="8" s="1"/>
  <c r="BD48" i="8"/>
  <c r="DJ48" i="8" s="1"/>
  <c r="BK48" i="8"/>
  <c r="BC48" i="8"/>
  <c r="BJ48" i="8"/>
  <c r="BI48" i="8"/>
  <c r="DL48" i="8" s="1"/>
  <c r="BH48" i="8"/>
  <c r="DK48" i="8" s="1"/>
  <c r="BO48" i="8"/>
  <c r="BG48" i="8"/>
  <c r="BN48" i="8"/>
  <c r="BF48" i="8"/>
  <c r="BM48" i="8"/>
  <c r="BE48" i="8"/>
  <c r="BP48" i="8"/>
  <c r="BA98" i="8"/>
  <c r="AS98" i="8"/>
  <c r="AZ98" i="8"/>
  <c r="AR98" i="8"/>
  <c r="AY98" i="8"/>
  <c r="AQ98" i="8"/>
  <c r="AX98" i="8"/>
  <c r="DI98" i="8" s="1"/>
  <c r="AP98" i="8"/>
  <c r="DF98" i="8" s="1"/>
  <c r="AW98" i="8"/>
  <c r="AO98" i="8"/>
  <c r="AV98" i="8"/>
  <c r="AU98" i="8"/>
  <c r="DH98" i="8" s="1"/>
  <c r="BB98" i="8"/>
  <c r="AT98" i="8"/>
  <c r="DG98" i="8" s="1"/>
  <c r="O299" i="8"/>
  <c r="I285" i="8"/>
  <c r="J285" i="8" s="1"/>
  <c r="S281" i="8"/>
  <c r="T281" i="8" s="1"/>
  <c r="S273" i="8"/>
  <c r="T273" i="8" s="1"/>
  <c r="O305" i="8"/>
  <c r="S284" i="8"/>
  <c r="T284" i="8" s="1"/>
  <c r="Q306" i="8"/>
  <c r="I278" i="8"/>
  <c r="J278" i="8" s="1"/>
  <c r="I272" i="8"/>
  <c r="J272" i="8" s="1"/>
  <c r="E304" i="8"/>
  <c r="I282" i="8"/>
  <c r="J282" i="8" s="1"/>
  <c r="F305" i="8"/>
  <c r="F297" i="8"/>
  <c r="S282" i="8"/>
  <c r="T282" i="8" s="1"/>
  <c r="O304" i="8"/>
  <c r="E300" i="8"/>
  <c r="I276" i="8"/>
  <c r="J276" i="8" s="1"/>
  <c r="E298" i="8"/>
  <c r="S287" i="8"/>
  <c r="T287" i="8" s="1"/>
  <c r="S279" i="8"/>
  <c r="T279" i="8" s="1"/>
  <c r="S271" i="8"/>
  <c r="T271" i="8" s="1"/>
  <c r="F304" i="8"/>
  <c r="S280" i="8"/>
  <c r="T280" i="8" s="1"/>
  <c r="O303" i="8"/>
  <c r="E296" i="8"/>
  <c r="I268" i="8"/>
  <c r="J268" i="8" s="1"/>
  <c r="I283" i="8"/>
  <c r="J283" i="8" s="1"/>
  <c r="I271" i="8"/>
  <c r="J271" i="8" s="1"/>
  <c r="E302" i="8"/>
  <c r="S286" i="8"/>
  <c r="T286" i="8" s="1"/>
  <c r="O306" i="8"/>
  <c r="G297" i="8"/>
  <c r="S278" i="8"/>
  <c r="T278" i="8" s="1"/>
  <c r="O302" i="8"/>
  <c r="I270" i="8"/>
  <c r="J270" i="8" s="1"/>
  <c r="S285" i="8"/>
  <c r="T285" i="8" s="1"/>
  <c r="S277" i="8"/>
  <c r="T277" i="8" s="1"/>
  <c r="S269" i="8"/>
  <c r="T269" i="8" s="1"/>
  <c r="O300" i="8"/>
  <c r="S276" i="8"/>
  <c r="T276" i="8" s="1"/>
  <c r="I287" i="8"/>
  <c r="J287" i="8" s="1"/>
  <c r="I281" i="8"/>
  <c r="J281" i="8" s="1"/>
  <c r="I275" i="8"/>
  <c r="J275" i="8" s="1"/>
  <c r="E303" i="8"/>
  <c r="E305" i="8"/>
  <c r="E297" i="8"/>
  <c r="S272" i="8"/>
  <c r="T272" i="8" s="1"/>
  <c r="O298" i="8"/>
  <c r="I286" i="8"/>
  <c r="J286" i="8" s="1"/>
  <c r="I280" i="8"/>
  <c r="J280" i="8" s="1"/>
  <c r="I274" i="8"/>
  <c r="J274" i="8" s="1"/>
  <c r="E299" i="8"/>
  <c r="G64" i="4"/>
  <c r="T64" i="4"/>
  <c r="H64" i="4"/>
  <c r="F65" i="4"/>
  <c r="T65" i="4"/>
  <c r="F64" i="4"/>
  <c r="G65" i="4"/>
  <c r="I63" i="4"/>
  <c r="H65" i="4"/>
  <c r="I64" i="4"/>
  <c r="N64" i="4"/>
  <c r="O65" i="1"/>
  <c r="R65" i="1"/>
  <c r="Q65" i="1"/>
  <c r="S65" i="1" s="1"/>
  <c r="T65" i="1" s="1"/>
  <c r="P65" i="1"/>
  <c r="R64" i="1"/>
  <c r="Q64" i="1"/>
  <c r="P64" i="1"/>
  <c r="O64" i="1"/>
  <c r="S64" i="1" s="1"/>
  <c r="T64" i="1" s="1"/>
  <c r="R63" i="1"/>
  <c r="Q63" i="1"/>
  <c r="P63" i="1"/>
  <c r="O63" i="1"/>
  <c r="R62" i="1"/>
  <c r="Q62" i="1"/>
  <c r="P62" i="1"/>
  <c r="O62" i="1"/>
  <c r="S62" i="1" s="1"/>
  <c r="T62" i="1" s="1"/>
  <c r="R61" i="1"/>
  <c r="Q61" i="1"/>
  <c r="P61" i="1"/>
  <c r="O61" i="1"/>
  <c r="R60" i="1"/>
  <c r="Q60" i="1"/>
  <c r="Q82" i="1" s="1"/>
  <c r="P60" i="1"/>
  <c r="O60" i="1"/>
  <c r="S60" i="1" s="1"/>
  <c r="T60" i="1" s="1"/>
  <c r="R59" i="1"/>
  <c r="Q59" i="1"/>
  <c r="P59" i="1"/>
  <c r="O59" i="1"/>
  <c r="R58" i="1"/>
  <c r="Q58" i="1"/>
  <c r="Q81" i="1" s="1"/>
  <c r="P58" i="1"/>
  <c r="O58" i="1"/>
  <c r="S58" i="1" s="1"/>
  <c r="T58" i="1" s="1"/>
  <c r="R57" i="1"/>
  <c r="Q57" i="1"/>
  <c r="P57" i="1"/>
  <c r="O57" i="1"/>
  <c r="R56" i="1"/>
  <c r="Q56" i="1"/>
  <c r="Q80" i="1" s="1"/>
  <c r="P56" i="1"/>
  <c r="O56" i="1"/>
  <c r="O80" i="1" s="1"/>
  <c r="R55" i="1"/>
  <c r="Q55" i="1"/>
  <c r="P55" i="1"/>
  <c r="O55" i="1"/>
  <c r="R54" i="1"/>
  <c r="Q54" i="1"/>
  <c r="Q78" i="1" s="1"/>
  <c r="P54" i="1"/>
  <c r="O54" i="1"/>
  <c r="S54" i="1" s="1"/>
  <c r="T54" i="1" s="1"/>
  <c r="R53" i="1"/>
  <c r="Q53" i="1"/>
  <c r="P53" i="1"/>
  <c r="O53" i="1"/>
  <c r="R52" i="1"/>
  <c r="Q52" i="1"/>
  <c r="Q77" i="1" s="1"/>
  <c r="P52" i="1"/>
  <c r="O52" i="1"/>
  <c r="S52" i="1" s="1"/>
  <c r="T52" i="1" s="1"/>
  <c r="R51" i="1"/>
  <c r="Q51" i="1"/>
  <c r="P51" i="1"/>
  <c r="O51" i="1"/>
  <c r="R50" i="1"/>
  <c r="Q50" i="1"/>
  <c r="Q76" i="1" s="1"/>
  <c r="P50" i="1"/>
  <c r="O50" i="1"/>
  <c r="O76" i="1" s="1"/>
  <c r="R49" i="1"/>
  <c r="Q49" i="1"/>
  <c r="P49" i="1"/>
  <c r="O49" i="1"/>
  <c r="R48" i="1"/>
  <c r="Q48" i="1"/>
  <c r="Q75" i="1" s="1"/>
  <c r="P48" i="1"/>
  <c r="O48" i="1"/>
  <c r="S48" i="1" s="1"/>
  <c r="T48" i="1" s="1"/>
  <c r="R47" i="1"/>
  <c r="Q47" i="1"/>
  <c r="P47" i="1"/>
  <c r="O47" i="1"/>
  <c r="R46" i="1"/>
  <c r="Q46" i="1"/>
  <c r="Q74" i="1" s="1"/>
  <c r="P46" i="1"/>
  <c r="O46" i="1"/>
  <c r="O74" i="1" s="1"/>
  <c r="H47" i="1"/>
  <c r="G47" i="1"/>
  <c r="F47" i="1"/>
  <c r="E47" i="1"/>
  <c r="H46" i="1"/>
  <c r="G46" i="1"/>
  <c r="G74" i="1" s="1"/>
  <c r="F46" i="1"/>
  <c r="E46" i="1"/>
  <c r="I46" i="1" s="1"/>
  <c r="J46" i="1" s="1"/>
  <c r="H61" i="1"/>
  <c r="G61" i="1"/>
  <c r="F61" i="1"/>
  <c r="E61" i="1"/>
  <c r="H60" i="1"/>
  <c r="G60" i="1"/>
  <c r="F60" i="1"/>
  <c r="F82" i="1" s="1"/>
  <c r="E60" i="1"/>
  <c r="H65" i="1"/>
  <c r="G65" i="1"/>
  <c r="F65" i="1"/>
  <c r="E65" i="1"/>
  <c r="H64" i="1"/>
  <c r="G64" i="1"/>
  <c r="F64" i="1"/>
  <c r="F84" i="1" s="1"/>
  <c r="E64" i="1"/>
  <c r="E84" i="1" s="1"/>
  <c r="H63" i="1"/>
  <c r="G63" i="1"/>
  <c r="F63" i="1"/>
  <c r="E63" i="1"/>
  <c r="H62" i="1"/>
  <c r="G62" i="1"/>
  <c r="F62" i="1"/>
  <c r="F83" i="1" s="1"/>
  <c r="E62" i="1"/>
  <c r="E83" i="1" s="1"/>
  <c r="H59" i="1"/>
  <c r="G59" i="1"/>
  <c r="F59" i="1"/>
  <c r="E59" i="1"/>
  <c r="H58" i="1"/>
  <c r="G58" i="1"/>
  <c r="F58" i="1"/>
  <c r="F81" i="1" s="1"/>
  <c r="E58" i="1"/>
  <c r="E81" i="1" s="1"/>
  <c r="H57" i="1"/>
  <c r="G57" i="1"/>
  <c r="F57" i="1"/>
  <c r="E57" i="1"/>
  <c r="H56" i="1"/>
  <c r="G56" i="1"/>
  <c r="F56" i="1"/>
  <c r="F80" i="1" s="1"/>
  <c r="E56" i="1"/>
  <c r="E80" i="1" s="1"/>
  <c r="H55" i="1"/>
  <c r="G55" i="1"/>
  <c r="F55" i="1"/>
  <c r="E55" i="1"/>
  <c r="H54" i="1"/>
  <c r="G54" i="1"/>
  <c r="F54" i="1"/>
  <c r="F78" i="1" s="1"/>
  <c r="E54" i="1"/>
  <c r="E78" i="1" s="1"/>
  <c r="H53" i="1"/>
  <c r="G53" i="1"/>
  <c r="F53" i="1"/>
  <c r="E53" i="1"/>
  <c r="H52" i="1"/>
  <c r="G52" i="1"/>
  <c r="F52" i="1"/>
  <c r="F77" i="1" s="1"/>
  <c r="E52" i="1"/>
  <c r="E77" i="1" s="1"/>
  <c r="H51" i="1"/>
  <c r="G51" i="1"/>
  <c r="F51" i="1"/>
  <c r="E51" i="1"/>
  <c r="H50" i="1"/>
  <c r="G50" i="1"/>
  <c r="F50" i="1"/>
  <c r="F76" i="1" s="1"/>
  <c r="E50" i="1"/>
  <c r="E76" i="1" s="1"/>
  <c r="H49" i="1"/>
  <c r="G49" i="1"/>
  <c r="F49" i="1"/>
  <c r="E49" i="1"/>
  <c r="H48" i="1"/>
  <c r="G48" i="1"/>
  <c r="F48" i="1"/>
  <c r="F75" i="1" s="1"/>
  <c r="E48" i="1"/>
  <c r="E75" i="1" s="1"/>
  <c r="S21" i="1"/>
  <c r="CP68" i="12" l="1"/>
  <c r="CH68" i="12"/>
  <c r="CM38" i="14"/>
  <c r="CI103" i="13"/>
  <c r="CP74" i="12"/>
  <c r="R97" i="8"/>
  <c r="CY97" i="8" s="1"/>
  <c r="V99" i="8"/>
  <c r="DA99" i="8" s="1"/>
  <c r="W97" i="8"/>
  <c r="Z97" i="8"/>
  <c r="S99" i="8"/>
  <c r="CZ99" i="8" s="1"/>
  <c r="P99" i="8"/>
  <c r="CM67" i="12"/>
  <c r="X97" i="8"/>
  <c r="T97" i="8"/>
  <c r="T99" i="8"/>
  <c r="CL99" i="8" s="1"/>
  <c r="X99" i="8"/>
  <c r="CP99" i="8" s="1"/>
  <c r="O97" i="8"/>
  <c r="CG97" i="8" s="1"/>
  <c r="M97" i="8"/>
  <c r="CE97" i="8" s="1"/>
  <c r="W99" i="8"/>
  <c r="Q99" i="8"/>
  <c r="CI99" i="8" s="1"/>
  <c r="CG68" i="12"/>
  <c r="CE68" i="12"/>
  <c r="P97" i="8"/>
  <c r="U97" i="8"/>
  <c r="O99" i="8"/>
  <c r="CG99" i="8" s="1"/>
  <c r="Y99" i="8"/>
  <c r="CQ99" i="8" s="1"/>
  <c r="S97" i="8"/>
  <c r="CZ97" i="8" s="1"/>
  <c r="N97" i="8"/>
  <c r="CX97" i="8" s="1"/>
  <c r="DR97" i="8" s="1"/>
  <c r="M99" i="8"/>
  <c r="CE99" i="8" s="1"/>
  <c r="R99" i="8"/>
  <c r="CY99" i="8" s="1"/>
  <c r="Q97" i="8"/>
  <c r="U99" i="8"/>
  <c r="CQ68" i="12"/>
  <c r="CR41" i="14"/>
  <c r="CS41" i="14" s="1"/>
  <c r="Y101" i="8"/>
  <c r="O103" i="8"/>
  <c r="CG103" i="8" s="1"/>
  <c r="X103" i="8"/>
  <c r="CP103" i="8" s="1"/>
  <c r="O101" i="8"/>
  <c r="Z101" i="8"/>
  <c r="CR101" i="8" s="1"/>
  <c r="M103" i="8"/>
  <c r="CE103" i="8" s="1"/>
  <c r="Y103" i="8"/>
  <c r="CQ103" i="8" s="1"/>
  <c r="P101" i="8"/>
  <c r="CH101" i="8" s="1"/>
  <c r="T101" i="8"/>
  <c r="U103" i="8"/>
  <c r="CM103" i="8" s="1"/>
  <c r="R103" i="8"/>
  <c r="CY103" i="8" s="1"/>
  <c r="DS103" i="8" s="1"/>
  <c r="W101" i="8"/>
  <c r="CO101" i="8" s="1"/>
  <c r="M101" i="8"/>
  <c r="N103" i="8"/>
  <c r="CX103" i="8" s="1"/>
  <c r="DR103" i="8" s="1"/>
  <c r="Z103" i="8"/>
  <c r="CR103" i="8" s="1"/>
  <c r="CG42" i="14"/>
  <c r="CO68" i="12"/>
  <c r="S101" i="8"/>
  <c r="CZ101" i="8" s="1"/>
  <c r="DT101" i="8" s="1"/>
  <c r="U101" i="8"/>
  <c r="CM101" i="8" s="1"/>
  <c r="V103" i="8"/>
  <c r="DA103" i="8" s="1"/>
  <c r="S103" i="8"/>
  <c r="CZ103" i="8" s="1"/>
  <c r="DT103" i="8" s="1"/>
  <c r="X101" i="8"/>
  <c r="CP101" i="8" s="1"/>
  <c r="N101" i="8"/>
  <c r="CX101" i="8" s="1"/>
  <c r="DR101" i="8" s="1"/>
  <c r="W103" i="8"/>
  <c r="CO103" i="8" s="1"/>
  <c r="CM103" i="13"/>
  <c r="Q101" i="8"/>
  <c r="CI101" i="8" s="1"/>
  <c r="CI68" i="12"/>
  <c r="CH39" i="14"/>
  <c r="CI66" i="12"/>
  <c r="CL67" i="12"/>
  <c r="CM74" i="12"/>
  <c r="CO67" i="12"/>
  <c r="CR68" i="12"/>
  <c r="CS68" i="12" s="1"/>
  <c r="CR38" i="14"/>
  <c r="J38" i="14" s="1"/>
  <c r="CL38" i="14"/>
  <c r="CP103" i="13"/>
  <c r="CG103" i="13"/>
  <c r="CH103" i="13"/>
  <c r="CE103" i="13"/>
  <c r="CO103" i="13"/>
  <c r="CL103" i="13"/>
  <c r="CQ103" i="13"/>
  <c r="CL68" i="12"/>
  <c r="CO74" i="12"/>
  <c r="CP69" i="12"/>
  <c r="CP67" i="12"/>
  <c r="CM68" i="12"/>
  <c r="CQ74" i="12"/>
  <c r="CH67" i="12"/>
  <c r="CH36" i="14"/>
  <c r="CO69" i="12"/>
  <c r="CQ67" i="12"/>
  <c r="CL39" i="14"/>
  <c r="CH38" i="14"/>
  <c r="CG67" i="12"/>
  <c r="CE74" i="12"/>
  <c r="CP36" i="14"/>
  <c r="CI67" i="12"/>
  <c r="CR74" i="12"/>
  <c r="J74" i="12" s="1"/>
  <c r="CH69" i="12"/>
  <c r="CR66" i="12"/>
  <c r="J66" i="12" s="1"/>
  <c r="CJ103" i="13"/>
  <c r="CY103" i="13"/>
  <c r="DS103" i="13" s="1"/>
  <c r="CE69" i="12"/>
  <c r="CX112" i="13"/>
  <c r="DR112" i="13" s="1"/>
  <c r="CF112" i="13"/>
  <c r="CZ112" i="13"/>
  <c r="DT112" i="13" s="1"/>
  <c r="CK112" i="13"/>
  <c r="CP66" i="12"/>
  <c r="CL66" i="12"/>
  <c r="CR73" i="12"/>
  <c r="CS73" i="12" s="1"/>
  <c r="CH73" i="12"/>
  <c r="H75" i="12"/>
  <c r="I74" i="12"/>
  <c r="I115" i="13"/>
  <c r="CG41" i="14"/>
  <c r="CJ104" i="13"/>
  <c r="CY104" i="13"/>
  <c r="DS104" i="13" s="1"/>
  <c r="CI104" i="13"/>
  <c r="CZ72" i="12"/>
  <c r="DT72" i="12" s="1"/>
  <c r="CK72" i="12"/>
  <c r="CG72" i="12"/>
  <c r="CL37" i="14"/>
  <c r="CP37" i="14"/>
  <c r="CM108" i="13"/>
  <c r="CK114" i="13"/>
  <c r="CZ114" i="13"/>
  <c r="DT114" i="13" s="1"/>
  <c r="CE114" i="13"/>
  <c r="CY64" i="12"/>
  <c r="DS64" i="12" s="1"/>
  <c r="CJ64" i="12"/>
  <c r="CP64" i="12"/>
  <c r="CM17" i="15"/>
  <c r="CL17" i="15"/>
  <c r="CL36" i="14"/>
  <c r="DA36" i="14"/>
  <c r="DU36" i="14" s="1"/>
  <c r="CN36" i="14"/>
  <c r="CJ110" i="13"/>
  <c r="CY110" i="13"/>
  <c r="DS110" i="13" s="1"/>
  <c r="CQ65" i="12"/>
  <c r="CO65" i="12"/>
  <c r="DA74" i="12"/>
  <c r="DU74" i="12" s="1"/>
  <c r="CN74" i="12"/>
  <c r="CH74" i="12"/>
  <c r="CL115" i="13"/>
  <c r="CX115" i="13"/>
  <c r="DR115" i="13" s="1"/>
  <c r="CF115" i="13"/>
  <c r="CO113" i="13"/>
  <c r="CE113" i="13"/>
  <c r="CZ71" i="12"/>
  <c r="DT71" i="12" s="1"/>
  <c r="CK71" i="12"/>
  <c r="CL71" i="12"/>
  <c r="Y99" i="12"/>
  <c r="CQ99" i="12" s="1"/>
  <c r="Q99" i="12"/>
  <c r="CI99" i="12" s="1"/>
  <c r="X99" i="12"/>
  <c r="CP99" i="12" s="1"/>
  <c r="V99" i="12"/>
  <c r="O99" i="12"/>
  <c r="CG99" i="12" s="1"/>
  <c r="W99" i="12"/>
  <c r="CO99" i="12" s="1"/>
  <c r="P99" i="12"/>
  <c r="CH99" i="12" s="1"/>
  <c r="S99" i="12"/>
  <c r="T99" i="12"/>
  <c r="CL99" i="12" s="1"/>
  <c r="M99" i="12"/>
  <c r="CE99" i="12" s="1"/>
  <c r="U99" i="12"/>
  <c r="CM99" i="12" s="1"/>
  <c r="R99" i="12"/>
  <c r="Z99" i="12"/>
  <c r="CR99" i="12" s="1"/>
  <c r="CS99" i="12" s="1"/>
  <c r="N99" i="12"/>
  <c r="T90" i="12"/>
  <c r="CL90" i="12" s="1"/>
  <c r="S90" i="12"/>
  <c r="Z90" i="12"/>
  <c r="CR90" i="12" s="1"/>
  <c r="J90" i="12" s="1"/>
  <c r="R90" i="12"/>
  <c r="Y90" i="12"/>
  <c r="CQ90" i="12" s="1"/>
  <c r="Q90" i="12"/>
  <c r="CI90" i="12" s="1"/>
  <c r="X90" i="12"/>
  <c r="P90" i="12"/>
  <c r="CH90" i="12" s="1"/>
  <c r="W90" i="12"/>
  <c r="CO90" i="12" s="1"/>
  <c r="O90" i="12"/>
  <c r="CG90" i="12" s="1"/>
  <c r="V90" i="12"/>
  <c r="N90" i="12"/>
  <c r="U90" i="12"/>
  <c r="CM90" i="12" s="1"/>
  <c r="M90" i="12"/>
  <c r="CE90" i="12" s="1"/>
  <c r="T150" i="13"/>
  <c r="CL150" i="13" s="1"/>
  <c r="N150" i="13"/>
  <c r="P150" i="13"/>
  <c r="CH150" i="13" s="1"/>
  <c r="O150" i="13"/>
  <c r="CG150" i="13" s="1"/>
  <c r="S150" i="13"/>
  <c r="U150" i="13"/>
  <c r="CM150" i="13" s="1"/>
  <c r="Y150" i="13"/>
  <c r="CQ150" i="13" s="1"/>
  <c r="W150" i="13"/>
  <c r="CO150" i="13" s="1"/>
  <c r="R150" i="13"/>
  <c r="M150" i="13"/>
  <c r="CE150" i="13" s="1"/>
  <c r="Q150" i="13"/>
  <c r="CI150" i="13" s="1"/>
  <c r="Z150" i="13"/>
  <c r="CR150" i="13" s="1"/>
  <c r="J150" i="13" s="1"/>
  <c r="V150" i="13"/>
  <c r="X150" i="13"/>
  <c r="CP150" i="13" s="1"/>
  <c r="V156" i="13"/>
  <c r="Z156" i="13"/>
  <c r="CR156" i="13" s="1"/>
  <c r="CS156" i="13" s="1"/>
  <c r="N156" i="13"/>
  <c r="W156" i="13"/>
  <c r="CO156" i="13" s="1"/>
  <c r="T156" i="13"/>
  <c r="CL156" i="13" s="1"/>
  <c r="Q156" i="13"/>
  <c r="CI156" i="13" s="1"/>
  <c r="R156" i="13"/>
  <c r="O156" i="13"/>
  <c r="CG156" i="13" s="1"/>
  <c r="S156" i="13"/>
  <c r="X156" i="13"/>
  <c r="CP156" i="13" s="1"/>
  <c r="M156" i="13"/>
  <c r="CE156" i="13" s="1"/>
  <c r="P156" i="13"/>
  <c r="CH156" i="13" s="1"/>
  <c r="Y156" i="13"/>
  <c r="CQ156" i="13" s="1"/>
  <c r="U156" i="13"/>
  <c r="CM156" i="13" s="1"/>
  <c r="DA40" i="14"/>
  <c r="DU40" i="14" s="1"/>
  <c r="CN40" i="14"/>
  <c r="CR40" i="14"/>
  <c r="CR111" i="13"/>
  <c r="CS111" i="13" s="1"/>
  <c r="CX39" i="14"/>
  <c r="DR39" i="14" s="1"/>
  <c r="CF39" i="14"/>
  <c r="CP109" i="13"/>
  <c r="CK109" i="13"/>
  <c r="CZ109" i="13"/>
  <c r="DT109" i="13" s="1"/>
  <c r="CY70" i="12"/>
  <c r="DS70" i="12" s="1"/>
  <c r="CJ70" i="12"/>
  <c r="CI70" i="12"/>
  <c r="CN106" i="13"/>
  <c r="DA106" i="13"/>
  <c r="DU106" i="13" s="1"/>
  <c r="CO106" i="13"/>
  <c r="CL107" i="13"/>
  <c r="CO42" i="14"/>
  <c r="CI42" i="14"/>
  <c r="CH105" i="13"/>
  <c r="CQ105" i="13"/>
  <c r="CE63" i="12"/>
  <c r="CQ63" i="12"/>
  <c r="CG62" i="12"/>
  <c r="DA38" i="14"/>
  <c r="DU38" i="14" s="1"/>
  <c r="CN38" i="14"/>
  <c r="CF69" i="12"/>
  <c r="CX69" i="12"/>
  <c r="DR69" i="12" s="1"/>
  <c r="CI38" i="14"/>
  <c r="CH112" i="13"/>
  <c r="CG112" i="13"/>
  <c r="CY66" i="12"/>
  <c r="DS66" i="12" s="1"/>
  <c r="CJ66" i="12"/>
  <c r="CH66" i="12"/>
  <c r="CL73" i="12"/>
  <c r="CO104" i="13"/>
  <c r="CE104" i="13"/>
  <c r="CL72" i="12"/>
  <c r="CX72" i="12"/>
  <c r="DR72" i="12" s="1"/>
  <c r="CF72" i="12"/>
  <c r="CX67" i="12"/>
  <c r="DR67" i="12" s="1"/>
  <c r="CF67" i="12"/>
  <c r="CR37" i="14"/>
  <c r="J37" i="14" s="1"/>
  <c r="CE37" i="14"/>
  <c r="CJ108" i="13"/>
  <c r="CY108" i="13"/>
  <c r="DS108" i="13" s="1"/>
  <c r="CL114" i="13"/>
  <c r="CI114" i="13"/>
  <c r="CO64" i="12"/>
  <c r="CL64" i="12"/>
  <c r="CX17" i="15"/>
  <c r="DR17" i="15" s="1"/>
  <c r="CF17" i="15"/>
  <c r="CI17" i="15"/>
  <c r="CH110" i="13"/>
  <c r="CX110" i="13"/>
  <c r="DR110" i="13" s="1"/>
  <c r="CF110" i="13"/>
  <c r="CM65" i="12"/>
  <c r="CX65" i="12"/>
  <c r="DR65" i="12" s="1"/>
  <c r="CF65" i="12"/>
  <c r="CY74" i="12"/>
  <c r="DS74" i="12" s="1"/>
  <c r="CJ74" i="12"/>
  <c r="CZ74" i="12"/>
  <c r="DT74" i="12" s="1"/>
  <c r="CK74" i="12"/>
  <c r="CG115" i="13"/>
  <c r="CP115" i="13"/>
  <c r="CR113" i="13"/>
  <c r="CS113" i="13" s="1"/>
  <c r="CP113" i="13"/>
  <c r="CP71" i="12"/>
  <c r="X92" i="12"/>
  <c r="CP92" i="12" s="1"/>
  <c r="V92" i="12"/>
  <c r="U92" i="12"/>
  <c r="CM92" i="12" s="1"/>
  <c r="T92" i="12"/>
  <c r="CL92" i="12" s="1"/>
  <c r="P92" i="12"/>
  <c r="CH92" i="12" s="1"/>
  <c r="N92" i="12"/>
  <c r="M92" i="12"/>
  <c r="CE92" i="12" s="1"/>
  <c r="Q92" i="12"/>
  <c r="CI92" i="12" s="1"/>
  <c r="Z92" i="12"/>
  <c r="CR92" i="12" s="1"/>
  <c r="J92" i="12" s="1"/>
  <c r="O92" i="12"/>
  <c r="CG92" i="12" s="1"/>
  <c r="Y92" i="12"/>
  <c r="CQ92" i="12" s="1"/>
  <c r="R92" i="12"/>
  <c r="W92" i="12"/>
  <c r="CO92" i="12" s="1"/>
  <c r="S92" i="12"/>
  <c r="W147" i="13"/>
  <c r="CO147" i="13" s="1"/>
  <c r="P147" i="13"/>
  <c r="CH147" i="13" s="1"/>
  <c r="O147" i="13"/>
  <c r="CG147" i="13" s="1"/>
  <c r="X147" i="13"/>
  <c r="CP147" i="13" s="1"/>
  <c r="Y147" i="13"/>
  <c r="CQ147" i="13" s="1"/>
  <c r="T147" i="13"/>
  <c r="CL147" i="13" s="1"/>
  <c r="Q147" i="13"/>
  <c r="CI147" i="13" s="1"/>
  <c r="U147" i="13"/>
  <c r="CM147" i="13" s="1"/>
  <c r="Z147" i="13"/>
  <c r="CR147" i="13" s="1"/>
  <c r="J147" i="13" s="1"/>
  <c r="V147" i="13"/>
  <c r="R147" i="13"/>
  <c r="M147" i="13"/>
  <c r="CE147" i="13" s="1"/>
  <c r="N147" i="13"/>
  <c r="S147" i="13"/>
  <c r="V154" i="13"/>
  <c r="Z154" i="13"/>
  <c r="CR154" i="13" s="1"/>
  <c r="CS154" i="13" s="1"/>
  <c r="O154" i="13"/>
  <c r="CG154" i="13" s="1"/>
  <c r="W154" i="13"/>
  <c r="CO154" i="13" s="1"/>
  <c r="S154" i="13"/>
  <c r="P154" i="13"/>
  <c r="CH154" i="13" s="1"/>
  <c r="T154" i="13"/>
  <c r="CL154" i="13" s="1"/>
  <c r="X154" i="13"/>
  <c r="CP154" i="13" s="1"/>
  <c r="U154" i="13"/>
  <c r="CM154" i="13" s="1"/>
  <c r="Y154" i="13"/>
  <c r="CQ154" i="13" s="1"/>
  <c r="M154" i="13"/>
  <c r="CE154" i="13" s="1"/>
  <c r="N154" i="13"/>
  <c r="Q154" i="13"/>
  <c r="CI154" i="13" s="1"/>
  <c r="R154" i="13"/>
  <c r="S81" i="14"/>
  <c r="W81" i="14"/>
  <c r="CO81" i="14" s="1"/>
  <c r="Z81" i="14"/>
  <c r="CR81" i="14" s="1"/>
  <c r="J81" i="14" s="1"/>
  <c r="O81" i="14"/>
  <c r="CG81" i="14" s="1"/>
  <c r="R81" i="14"/>
  <c r="M81" i="14"/>
  <c r="CE81" i="14" s="1"/>
  <c r="Y81" i="14"/>
  <c r="CQ81" i="14" s="1"/>
  <c r="V81" i="14"/>
  <c r="Q81" i="14"/>
  <c r="CI81" i="14" s="1"/>
  <c r="N81" i="14"/>
  <c r="U81" i="14"/>
  <c r="CM81" i="14" s="1"/>
  <c r="T81" i="14"/>
  <c r="CL81" i="14" s="1"/>
  <c r="P81" i="14"/>
  <c r="CH81" i="14" s="1"/>
  <c r="X81" i="14"/>
  <c r="CP81" i="14" s="1"/>
  <c r="CX40" i="14"/>
  <c r="DR40" i="14" s="1"/>
  <c r="CF40" i="14"/>
  <c r="CL111" i="13"/>
  <c r="CH111" i="13"/>
  <c r="DA39" i="14"/>
  <c r="DU39" i="14" s="1"/>
  <c r="CN39" i="14"/>
  <c r="CQ109" i="13"/>
  <c r="CH109" i="13"/>
  <c r="CR70" i="12"/>
  <c r="CS70" i="12" s="1"/>
  <c r="CP106" i="13"/>
  <c r="CR106" i="13"/>
  <c r="J106" i="13" s="1"/>
  <c r="CO107" i="13"/>
  <c r="DA42" i="14"/>
  <c r="DU42" i="14" s="1"/>
  <c r="CN42" i="14"/>
  <c r="CX42" i="14"/>
  <c r="DR42" i="14" s="1"/>
  <c r="CF42" i="14"/>
  <c r="CG105" i="13"/>
  <c r="CI105" i="13"/>
  <c r="CP63" i="12"/>
  <c r="DA63" i="12"/>
  <c r="DU63" i="12" s="1"/>
  <c r="CN63" i="12"/>
  <c r="CY62" i="12"/>
  <c r="DS62" i="12" s="1"/>
  <c r="CJ62" i="12"/>
  <c r="CM69" i="12"/>
  <c r="CP38" i="14"/>
  <c r="CQ38" i="14"/>
  <c r="CL112" i="13"/>
  <c r="CO112" i="13"/>
  <c r="CG66" i="12"/>
  <c r="CE66" i="12"/>
  <c r="CM73" i="12"/>
  <c r="CS103" i="13"/>
  <c r="CZ41" i="14"/>
  <c r="DT41" i="14" s="1"/>
  <c r="CK41" i="14"/>
  <c r="CM41" i="14"/>
  <c r="CN104" i="13"/>
  <c r="DA104" i="13"/>
  <c r="DU104" i="13" s="1"/>
  <c r="CP104" i="13"/>
  <c r="CE72" i="12"/>
  <c r="CO72" i="12"/>
  <c r="CG37" i="14"/>
  <c r="CR108" i="13"/>
  <c r="CS108" i="13" s="1"/>
  <c r="CG108" i="13"/>
  <c r="CN114" i="13"/>
  <c r="DA114" i="13"/>
  <c r="DU114" i="13" s="1"/>
  <c r="CO114" i="13"/>
  <c r="CH64" i="12"/>
  <c r="DA64" i="12"/>
  <c r="DU64" i="12" s="1"/>
  <c r="CN64" i="12"/>
  <c r="CE17" i="15"/>
  <c r="CP17" i="15"/>
  <c r="CG110" i="13"/>
  <c r="CQ110" i="13"/>
  <c r="CR65" i="12"/>
  <c r="CP65" i="12"/>
  <c r="CX74" i="12"/>
  <c r="DR74" i="12" s="1"/>
  <c r="CF74" i="12"/>
  <c r="CQ115" i="13"/>
  <c r="CM115" i="13"/>
  <c r="CG113" i="13"/>
  <c r="CL113" i="13"/>
  <c r="CH71" i="12"/>
  <c r="W89" i="12"/>
  <c r="CO89" i="12" s="1"/>
  <c r="T89" i="12"/>
  <c r="CL89" i="12" s="1"/>
  <c r="X89" i="12"/>
  <c r="CP89" i="12" s="1"/>
  <c r="O89" i="12"/>
  <c r="CG89" i="12" s="1"/>
  <c r="S89" i="12"/>
  <c r="M89" i="12"/>
  <c r="CE89" i="12" s="1"/>
  <c r="U89" i="12"/>
  <c r="CM89" i="12" s="1"/>
  <c r="N89" i="12"/>
  <c r="R89" i="12"/>
  <c r="V89" i="12"/>
  <c r="Z89" i="12"/>
  <c r="CR89" i="12" s="1"/>
  <c r="J89" i="12" s="1"/>
  <c r="Q89" i="12"/>
  <c r="CI89" i="12" s="1"/>
  <c r="P89" i="12"/>
  <c r="CH89" i="12" s="1"/>
  <c r="Y89" i="12"/>
  <c r="CQ89" i="12" s="1"/>
  <c r="M151" i="13"/>
  <c r="CE151" i="13" s="1"/>
  <c r="P151" i="13"/>
  <c r="CH151" i="13" s="1"/>
  <c r="U151" i="13"/>
  <c r="CM151" i="13" s="1"/>
  <c r="Y151" i="13"/>
  <c r="CQ151" i="13" s="1"/>
  <c r="Q151" i="13"/>
  <c r="CI151" i="13" s="1"/>
  <c r="T151" i="13"/>
  <c r="CL151" i="13" s="1"/>
  <c r="V151" i="13"/>
  <c r="Z151" i="13"/>
  <c r="CR151" i="13" s="1"/>
  <c r="CS151" i="13" s="1"/>
  <c r="W151" i="13"/>
  <c r="CO151" i="13" s="1"/>
  <c r="S151" i="13"/>
  <c r="O151" i="13"/>
  <c r="CG151" i="13" s="1"/>
  <c r="R151" i="13"/>
  <c r="N151" i="13"/>
  <c r="X151" i="13"/>
  <c r="CP151" i="13" s="1"/>
  <c r="V79" i="14"/>
  <c r="R79" i="14"/>
  <c r="N79" i="14"/>
  <c r="Q79" i="14"/>
  <c r="CI79" i="14" s="1"/>
  <c r="M79" i="14"/>
  <c r="CE79" i="14" s="1"/>
  <c r="P79" i="14"/>
  <c r="CH79" i="14" s="1"/>
  <c r="T79" i="14"/>
  <c r="CL79" i="14" s="1"/>
  <c r="W79" i="14"/>
  <c r="CO79" i="14" s="1"/>
  <c r="S79" i="14"/>
  <c r="O79" i="14"/>
  <c r="CG79" i="14" s="1"/>
  <c r="U79" i="14"/>
  <c r="CM79" i="14" s="1"/>
  <c r="Z79" i="14"/>
  <c r="CR79" i="14" s="1"/>
  <c r="J79" i="14" s="1"/>
  <c r="Y79" i="14"/>
  <c r="CQ79" i="14" s="1"/>
  <c r="X79" i="14"/>
  <c r="CP79" i="14" s="1"/>
  <c r="P85" i="14"/>
  <c r="CH85" i="14" s="1"/>
  <c r="S85" i="14"/>
  <c r="W85" i="14"/>
  <c r="CO85" i="14" s="1"/>
  <c r="U85" i="14"/>
  <c r="CM85" i="14" s="1"/>
  <c r="O85" i="14"/>
  <c r="CG85" i="14" s="1"/>
  <c r="Z85" i="14"/>
  <c r="CR85" i="14" s="1"/>
  <c r="CS85" i="14" s="1"/>
  <c r="M85" i="14"/>
  <c r="CE85" i="14" s="1"/>
  <c r="R85" i="14"/>
  <c r="V85" i="14"/>
  <c r="Y85" i="14"/>
  <c r="CQ85" i="14" s="1"/>
  <c r="N85" i="14"/>
  <c r="X85" i="14"/>
  <c r="CP85" i="14" s="1"/>
  <c r="Q85" i="14"/>
  <c r="CI85" i="14" s="1"/>
  <c r="T85" i="14"/>
  <c r="CL85" i="14" s="1"/>
  <c r="CM40" i="14"/>
  <c r="CG111" i="13"/>
  <c r="CQ111" i="13"/>
  <c r="CY39" i="14"/>
  <c r="DS39" i="14" s="1"/>
  <c r="CJ39" i="14"/>
  <c r="CG39" i="14"/>
  <c r="CN109" i="13"/>
  <c r="DA109" i="13"/>
  <c r="DU109" i="13" s="1"/>
  <c r="CY109" i="13"/>
  <c r="DS109" i="13" s="1"/>
  <c r="CJ109" i="13"/>
  <c r="CG70" i="12"/>
  <c r="CM106" i="13"/>
  <c r="CM107" i="13"/>
  <c r="CZ107" i="13"/>
  <c r="DT107" i="13" s="1"/>
  <c r="CK107" i="13"/>
  <c r="CM42" i="14"/>
  <c r="CP42" i="14"/>
  <c r="CL105" i="13"/>
  <c r="CX105" i="13"/>
  <c r="DR105" i="13" s="1"/>
  <c r="CF105" i="13"/>
  <c r="CX63" i="12"/>
  <c r="DR63" i="12" s="1"/>
  <c r="CF63" i="12"/>
  <c r="CZ62" i="12"/>
  <c r="DT62" i="12" s="1"/>
  <c r="CK62" i="12"/>
  <c r="CH62" i="12"/>
  <c r="CX38" i="14"/>
  <c r="CF38" i="14"/>
  <c r="CN69" i="12"/>
  <c r="DA69" i="12"/>
  <c r="DU69" i="12" s="1"/>
  <c r="CE38" i="14"/>
  <c r="CQ112" i="13"/>
  <c r="CJ112" i="13"/>
  <c r="CY112" i="13"/>
  <c r="DS112" i="13" s="1"/>
  <c r="CP73" i="12"/>
  <c r="CG73" i="12"/>
  <c r="H48" i="14"/>
  <c r="I48" i="14" s="1"/>
  <c r="CL41" i="14"/>
  <c r="CQ41" i="14"/>
  <c r="CG104" i="13"/>
  <c r="CL104" i="13"/>
  <c r="CM72" i="12"/>
  <c r="CI72" i="12"/>
  <c r="CI37" i="14"/>
  <c r="CQ108" i="13"/>
  <c r="DA108" i="13"/>
  <c r="DU108" i="13" s="1"/>
  <c r="CN108" i="13"/>
  <c r="CR114" i="13"/>
  <c r="CS114" i="13" s="1"/>
  <c r="CP114" i="13"/>
  <c r="CE64" i="12"/>
  <c r="CG64" i="12"/>
  <c r="CY17" i="15"/>
  <c r="DS17" i="15" s="1"/>
  <c r="CJ17" i="15"/>
  <c r="CO36" i="14"/>
  <c r="CY36" i="14"/>
  <c r="DS36" i="14" s="1"/>
  <c r="CJ36" i="14"/>
  <c r="CZ110" i="13"/>
  <c r="DT110" i="13" s="1"/>
  <c r="CK110" i="13"/>
  <c r="CM110" i="13"/>
  <c r="CL65" i="12"/>
  <c r="CH65" i="12"/>
  <c r="I158" i="13"/>
  <c r="Z116" i="13"/>
  <c r="CR115" i="13"/>
  <c r="J115" i="13" s="1"/>
  <c r="CO115" i="13"/>
  <c r="CY113" i="13"/>
  <c r="DS113" i="13" s="1"/>
  <c r="CJ113" i="13"/>
  <c r="CE71" i="12"/>
  <c r="CQ71" i="12"/>
  <c r="U94" i="12"/>
  <c r="CM94" i="12" s="1"/>
  <c r="M94" i="12"/>
  <c r="CE94" i="12" s="1"/>
  <c r="T94" i="12"/>
  <c r="CL94" i="12" s="1"/>
  <c r="S94" i="12"/>
  <c r="Z94" i="12"/>
  <c r="CR94" i="12" s="1"/>
  <c r="CS94" i="12" s="1"/>
  <c r="R94" i="12"/>
  <c r="Y94" i="12"/>
  <c r="CQ94" i="12" s="1"/>
  <c r="Q94" i="12"/>
  <c r="CI94" i="12" s="1"/>
  <c r="X94" i="12"/>
  <c r="CP94" i="12" s="1"/>
  <c r="P94" i="12"/>
  <c r="CH94" i="12" s="1"/>
  <c r="W94" i="12"/>
  <c r="CO94" i="12" s="1"/>
  <c r="O94" i="12"/>
  <c r="CG94" i="12" s="1"/>
  <c r="V94" i="12"/>
  <c r="N94" i="12"/>
  <c r="Y155" i="13"/>
  <c r="CQ155" i="13" s="1"/>
  <c r="R155" i="13"/>
  <c r="S155" i="13"/>
  <c r="T155" i="13"/>
  <c r="CL155" i="13" s="1"/>
  <c r="V155" i="13"/>
  <c r="U155" i="13"/>
  <c r="CM155" i="13" s="1"/>
  <c r="W155" i="13"/>
  <c r="CO155" i="13" s="1"/>
  <c r="M155" i="13"/>
  <c r="CE155" i="13" s="1"/>
  <c r="P155" i="13"/>
  <c r="CH155" i="13" s="1"/>
  <c r="Z155" i="13"/>
  <c r="CR155" i="13" s="1"/>
  <c r="CS155" i="13" s="1"/>
  <c r="X155" i="13"/>
  <c r="CP155" i="13" s="1"/>
  <c r="Q155" i="13"/>
  <c r="CI155" i="13" s="1"/>
  <c r="O155" i="13"/>
  <c r="CG155" i="13" s="1"/>
  <c r="N155" i="13"/>
  <c r="M83" i="14"/>
  <c r="CE83" i="14" s="1"/>
  <c r="Q83" i="14"/>
  <c r="CI83" i="14" s="1"/>
  <c r="T83" i="14"/>
  <c r="CL83" i="14" s="1"/>
  <c r="S83" i="14"/>
  <c r="W83" i="14"/>
  <c r="CO83" i="14" s="1"/>
  <c r="Z83" i="14"/>
  <c r="CR83" i="14" s="1"/>
  <c r="J83" i="14" s="1"/>
  <c r="O83" i="14"/>
  <c r="CG83" i="14" s="1"/>
  <c r="R83" i="14"/>
  <c r="V83" i="14"/>
  <c r="Y83" i="14"/>
  <c r="CQ83" i="14" s="1"/>
  <c r="U83" i="14"/>
  <c r="CM83" i="14" s="1"/>
  <c r="P83" i="14"/>
  <c r="CH83" i="14" s="1"/>
  <c r="N83" i="14"/>
  <c r="X83" i="14"/>
  <c r="CP83" i="14" s="1"/>
  <c r="V149" i="13"/>
  <c r="R149" i="13"/>
  <c r="O149" i="13"/>
  <c r="CG149" i="13" s="1"/>
  <c r="S149" i="13"/>
  <c r="W149" i="13"/>
  <c r="CO149" i="13" s="1"/>
  <c r="Z149" i="13"/>
  <c r="CR149" i="13" s="1"/>
  <c r="J149" i="13" s="1"/>
  <c r="P149" i="13"/>
  <c r="CH149" i="13" s="1"/>
  <c r="X149" i="13"/>
  <c r="CP149" i="13" s="1"/>
  <c r="M149" i="13"/>
  <c r="CE149" i="13" s="1"/>
  <c r="Q149" i="13"/>
  <c r="CI149" i="13" s="1"/>
  <c r="Y149" i="13"/>
  <c r="CQ149" i="13" s="1"/>
  <c r="T149" i="13"/>
  <c r="CL149" i="13" s="1"/>
  <c r="U149" i="13"/>
  <c r="CM149" i="13" s="1"/>
  <c r="N149" i="13"/>
  <c r="CP40" i="14"/>
  <c r="CI40" i="14"/>
  <c r="CY111" i="13"/>
  <c r="DS111" i="13" s="1"/>
  <c r="CJ111" i="13"/>
  <c r="CF111" i="13"/>
  <c r="CX111" i="13"/>
  <c r="DR111" i="13" s="1"/>
  <c r="CM39" i="14"/>
  <c r="CZ39" i="14"/>
  <c r="DT39" i="14" s="1"/>
  <c r="CK39" i="14"/>
  <c r="CI109" i="13"/>
  <c r="CX70" i="12"/>
  <c r="DR70" i="12" s="1"/>
  <c r="CF70" i="12"/>
  <c r="CH70" i="12"/>
  <c r="CE106" i="13"/>
  <c r="CQ107" i="13"/>
  <c r="CG107" i="13"/>
  <c r="CL42" i="14"/>
  <c r="CO105" i="13"/>
  <c r="CP105" i="13"/>
  <c r="CI63" i="12"/>
  <c r="DA62" i="12"/>
  <c r="DU62" i="12" s="1"/>
  <c r="CN62" i="12"/>
  <c r="CR62" i="12"/>
  <c r="J62" i="12" s="1"/>
  <c r="CK103" i="13"/>
  <c r="CZ103" i="13"/>
  <c r="DT103" i="13" s="1"/>
  <c r="CY38" i="14"/>
  <c r="DS38" i="14" s="1"/>
  <c r="CJ38" i="14"/>
  <c r="CY69" i="12"/>
  <c r="DS69" i="12" s="1"/>
  <c r="CJ69" i="12"/>
  <c r="CZ69" i="12"/>
  <c r="DT69" i="12" s="1"/>
  <c r="CK69" i="12"/>
  <c r="CZ68" i="12"/>
  <c r="DT68" i="12" s="1"/>
  <c r="CK68" i="12"/>
  <c r="CR36" i="14"/>
  <c r="J36" i="14" s="1"/>
  <c r="CP90" i="12"/>
  <c r="CM112" i="13"/>
  <c r="CR112" i="13"/>
  <c r="CS112" i="13" s="1"/>
  <c r="CI73" i="12"/>
  <c r="CX73" i="12"/>
  <c r="DR73" i="12" s="1"/>
  <c r="CF73" i="12"/>
  <c r="CI41" i="14"/>
  <c r="DA41" i="14"/>
  <c r="DU41" i="14" s="1"/>
  <c r="CN41" i="14"/>
  <c r="CZ104" i="13"/>
  <c r="DT104" i="13" s="1"/>
  <c r="CK104" i="13"/>
  <c r="CH104" i="13"/>
  <c r="CY72" i="12"/>
  <c r="DS72" i="12" s="1"/>
  <c r="CJ72" i="12"/>
  <c r="CZ67" i="12"/>
  <c r="DT67" i="12" s="1"/>
  <c r="CK67" i="12"/>
  <c r="CH37" i="14"/>
  <c r="CX37" i="14"/>
  <c r="DR37" i="14" s="1"/>
  <c r="CF37" i="14"/>
  <c r="CP108" i="13"/>
  <c r="CH108" i="13"/>
  <c r="CM114" i="13"/>
  <c r="CG114" i="13"/>
  <c r="CX64" i="12"/>
  <c r="DR64" i="12" s="1"/>
  <c r="CF64" i="12"/>
  <c r="CR17" i="15"/>
  <c r="CX36" i="14"/>
  <c r="DR36" i="14" s="1"/>
  <c r="CF36" i="14"/>
  <c r="CL110" i="13"/>
  <c r="CI110" i="13"/>
  <c r="DA65" i="12"/>
  <c r="DU65" i="12" s="1"/>
  <c r="CN65" i="12"/>
  <c r="CI65" i="12"/>
  <c r="CS89" i="12"/>
  <c r="H86" i="14"/>
  <c r="I86" i="14" s="1"/>
  <c r="CI115" i="13"/>
  <c r="CE115" i="13"/>
  <c r="CF113" i="13"/>
  <c r="CX113" i="13"/>
  <c r="DR113" i="13" s="1"/>
  <c r="CM71" i="12"/>
  <c r="CO71" i="12"/>
  <c r="C101" i="12"/>
  <c r="N100" i="12"/>
  <c r="P100" i="12"/>
  <c r="CH100" i="12" s="1"/>
  <c r="R100" i="12"/>
  <c r="Y100" i="12"/>
  <c r="CQ100" i="12" s="1"/>
  <c r="X100" i="12"/>
  <c r="CP100" i="12" s="1"/>
  <c r="U100" i="12"/>
  <c r="CM100" i="12" s="1"/>
  <c r="W100" i="12"/>
  <c r="CO100" i="12" s="1"/>
  <c r="S100" i="12"/>
  <c r="T100" i="12"/>
  <c r="CL100" i="12" s="1"/>
  <c r="Z100" i="12"/>
  <c r="CR100" i="12" s="1"/>
  <c r="M100" i="12"/>
  <c r="CE100" i="12" s="1"/>
  <c r="V100" i="12"/>
  <c r="O100" i="12"/>
  <c r="CG100" i="12" s="1"/>
  <c r="Q100" i="12"/>
  <c r="CI100" i="12" s="1"/>
  <c r="Z97" i="12"/>
  <c r="CR97" i="12" s="1"/>
  <c r="CS97" i="12" s="1"/>
  <c r="O97" i="12"/>
  <c r="CG97" i="12" s="1"/>
  <c r="N97" i="12"/>
  <c r="W97" i="12"/>
  <c r="CO97" i="12" s="1"/>
  <c r="V97" i="12"/>
  <c r="Q97" i="12"/>
  <c r="CI97" i="12" s="1"/>
  <c r="M97" i="12"/>
  <c r="CE97" i="12" s="1"/>
  <c r="Y97" i="12"/>
  <c r="CQ97" i="12" s="1"/>
  <c r="S97" i="12"/>
  <c r="T97" i="12"/>
  <c r="CL97" i="12" s="1"/>
  <c r="P97" i="12"/>
  <c r="CH97" i="12" s="1"/>
  <c r="U97" i="12"/>
  <c r="CM97" i="12" s="1"/>
  <c r="X97" i="12"/>
  <c r="CP97" i="12" s="1"/>
  <c r="R97" i="12"/>
  <c r="N148" i="13"/>
  <c r="V148" i="13"/>
  <c r="R148" i="13"/>
  <c r="O148" i="13"/>
  <c r="CG148" i="13" s="1"/>
  <c r="Z148" i="13"/>
  <c r="CR148" i="13" s="1"/>
  <c r="J148" i="13" s="1"/>
  <c r="W148" i="13"/>
  <c r="CO148" i="13" s="1"/>
  <c r="T148" i="13"/>
  <c r="CL148" i="13" s="1"/>
  <c r="Y148" i="13"/>
  <c r="CQ148" i="13" s="1"/>
  <c r="M148" i="13"/>
  <c r="CE148" i="13" s="1"/>
  <c r="P148" i="13"/>
  <c r="CH148" i="13" s="1"/>
  <c r="S148" i="13"/>
  <c r="U148" i="13"/>
  <c r="CM148" i="13" s="1"/>
  <c r="Q148" i="13"/>
  <c r="CI148" i="13" s="1"/>
  <c r="X148" i="13"/>
  <c r="CP148" i="13" s="1"/>
  <c r="X80" i="14"/>
  <c r="CP80" i="14" s="1"/>
  <c r="M80" i="14"/>
  <c r="CE80" i="14" s="1"/>
  <c r="P80" i="14"/>
  <c r="CH80" i="14" s="1"/>
  <c r="T80" i="14"/>
  <c r="CL80" i="14" s="1"/>
  <c r="S80" i="14"/>
  <c r="Z80" i="14"/>
  <c r="CR80" i="14" s="1"/>
  <c r="W80" i="14"/>
  <c r="CO80" i="14" s="1"/>
  <c r="R80" i="14"/>
  <c r="O80" i="14"/>
  <c r="CG80" i="14" s="1"/>
  <c r="V80" i="14"/>
  <c r="Q80" i="14"/>
  <c r="CI80" i="14" s="1"/>
  <c r="U80" i="14"/>
  <c r="CM80" i="14" s="1"/>
  <c r="Y80" i="14"/>
  <c r="CQ80" i="14" s="1"/>
  <c r="N80" i="14"/>
  <c r="W60" i="15"/>
  <c r="CO60" i="15" s="1"/>
  <c r="O60" i="15"/>
  <c r="CG60" i="15" s="1"/>
  <c r="V60" i="15"/>
  <c r="N60" i="15"/>
  <c r="U60" i="15"/>
  <c r="CM60" i="15" s="1"/>
  <c r="M60" i="15"/>
  <c r="CE60" i="15" s="1"/>
  <c r="T60" i="15"/>
  <c r="CL60" i="15" s="1"/>
  <c r="S60" i="15"/>
  <c r="Y60" i="15"/>
  <c r="CQ60" i="15" s="1"/>
  <c r="Z60" i="15"/>
  <c r="CR60" i="15" s="1"/>
  <c r="R60" i="15"/>
  <c r="Q60" i="15"/>
  <c r="CI60" i="15" s="1"/>
  <c r="X60" i="15"/>
  <c r="CP60" i="15" s="1"/>
  <c r="P60" i="15"/>
  <c r="CH60" i="15" s="1"/>
  <c r="W153" i="13"/>
  <c r="CO153" i="13" s="1"/>
  <c r="T153" i="13"/>
  <c r="CL153" i="13" s="1"/>
  <c r="P153" i="13"/>
  <c r="CH153" i="13" s="1"/>
  <c r="M153" i="13"/>
  <c r="CE153" i="13" s="1"/>
  <c r="X153" i="13"/>
  <c r="CP153" i="13" s="1"/>
  <c r="R153" i="13"/>
  <c r="V153" i="13"/>
  <c r="O153" i="13"/>
  <c r="CG153" i="13" s="1"/>
  <c r="Q153" i="13"/>
  <c r="CI153" i="13" s="1"/>
  <c r="Y153" i="13"/>
  <c r="CQ153" i="13" s="1"/>
  <c r="S153" i="13"/>
  <c r="U153" i="13"/>
  <c r="CM153" i="13" s="1"/>
  <c r="Z153" i="13"/>
  <c r="CR153" i="13" s="1"/>
  <c r="CS153" i="13" s="1"/>
  <c r="N153" i="13"/>
  <c r="CQ40" i="14"/>
  <c r="CE40" i="14"/>
  <c r="CN111" i="13"/>
  <c r="DA111" i="13"/>
  <c r="DU111" i="13" s="1"/>
  <c r="CI111" i="13"/>
  <c r="CP39" i="14"/>
  <c r="CO39" i="14"/>
  <c r="CM109" i="13"/>
  <c r="CZ70" i="12"/>
  <c r="DT70" i="12" s="1"/>
  <c r="CK70" i="12"/>
  <c r="CM70" i="12"/>
  <c r="CG106" i="13"/>
  <c r="CQ106" i="13"/>
  <c r="CH107" i="13"/>
  <c r="CR107" i="13"/>
  <c r="J107" i="13" s="1"/>
  <c r="CQ42" i="14"/>
  <c r="Z43" i="14"/>
  <c r="CR42" i="14"/>
  <c r="CS42" i="14" s="1"/>
  <c r="CR105" i="13"/>
  <c r="J105" i="13" s="1"/>
  <c r="CL63" i="12"/>
  <c r="CH63" i="12"/>
  <c r="CL62" i="12"/>
  <c r="CX62" i="12"/>
  <c r="DR62" i="12" s="1"/>
  <c r="CF62" i="12"/>
  <c r="CN103" i="13"/>
  <c r="DA103" i="13"/>
  <c r="DU103" i="13" s="1"/>
  <c r="CR69" i="12"/>
  <c r="CS69" i="12" s="1"/>
  <c r="CG69" i="12"/>
  <c r="CX68" i="12"/>
  <c r="DR68" i="12" s="1"/>
  <c r="CF68" i="12"/>
  <c r="CY68" i="12"/>
  <c r="DS68" i="12" s="1"/>
  <c r="CJ68" i="12"/>
  <c r="CE36" i="14"/>
  <c r="CE112" i="13"/>
  <c r="DA66" i="12"/>
  <c r="DU66" i="12" s="1"/>
  <c r="CN66" i="12"/>
  <c r="CQ66" i="12"/>
  <c r="CQ73" i="12"/>
  <c r="CO73" i="12"/>
  <c r="CP41" i="14"/>
  <c r="CE41" i="14"/>
  <c r="CF104" i="13"/>
  <c r="CX104" i="13"/>
  <c r="DR104" i="13" s="1"/>
  <c r="DY104" i="13" s="1"/>
  <c r="ED104" i="13" s="1"/>
  <c r="CR104" i="13"/>
  <c r="J104" i="13" s="1"/>
  <c r="CP72" i="12"/>
  <c r="CR67" i="12"/>
  <c r="CS67" i="12" s="1"/>
  <c r="CE67" i="12"/>
  <c r="CM37" i="14"/>
  <c r="CQ37" i="14"/>
  <c r="CK108" i="13"/>
  <c r="CZ108" i="13"/>
  <c r="DT108" i="13" s="1"/>
  <c r="CX108" i="13"/>
  <c r="DR108" i="13" s="1"/>
  <c r="CF108" i="13"/>
  <c r="CJ114" i="13"/>
  <c r="CY114" i="13"/>
  <c r="DS114" i="13" s="1"/>
  <c r="CH114" i="13"/>
  <c r="CQ64" i="12"/>
  <c r="CO17" i="15"/>
  <c r="CQ17" i="15"/>
  <c r="CZ36" i="14"/>
  <c r="DT36" i="14" s="1"/>
  <c r="CK36" i="14"/>
  <c r="CO110" i="13"/>
  <c r="CE110" i="13"/>
  <c r="CY65" i="12"/>
  <c r="DS65" i="12" s="1"/>
  <c r="CJ65" i="12"/>
  <c r="CL74" i="12"/>
  <c r="CI74" i="12"/>
  <c r="CS90" i="12"/>
  <c r="CY115" i="13"/>
  <c r="DS115" i="13" s="1"/>
  <c r="CJ115" i="13"/>
  <c r="CQ113" i="13"/>
  <c r="CI113" i="13"/>
  <c r="CF71" i="12"/>
  <c r="CX71" i="12"/>
  <c r="DR71" i="12" s="1"/>
  <c r="CG71" i="12"/>
  <c r="Y91" i="12"/>
  <c r="CQ91" i="12" s="1"/>
  <c r="N91" i="12"/>
  <c r="W91" i="12"/>
  <c r="CO91" i="12" s="1"/>
  <c r="X91" i="12"/>
  <c r="CP91" i="12" s="1"/>
  <c r="M91" i="12"/>
  <c r="CE91" i="12" s="1"/>
  <c r="V91" i="12"/>
  <c r="U91" i="12"/>
  <c r="CM91" i="12" s="1"/>
  <c r="R91" i="12"/>
  <c r="Q91" i="12"/>
  <c r="CI91" i="12" s="1"/>
  <c r="P91" i="12"/>
  <c r="CH91" i="12" s="1"/>
  <c r="Z91" i="12"/>
  <c r="CR91" i="12" s="1"/>
  <c r="O91" i="12"/>
  <c r="CG91" i="12" s="1"/>
  <c r="T91" i="12"/>
  <c r="CL91" i="12" s="1"/>
  <c r="S91" i="12"/>
  <c r="U98" i="12"/>
  <c r="CM98" i="12" s="1"/>
  <c r="M98" i="12"/>
  <c r="CE98" i="12" s="1"/>
  <c r="T98" i="12"/>
  <c r="CL98" i="12" s="1"/>
  <c r="S98" i="12"/>
  <c r="Z98" i="12"/>
  <c r="CR98" i="12" s="1"/>
  <c r="CS98" i="12" s="1"/>
  <c r="R98" i="12"/>
  <c r="Y98" i="12"/>
  <c r="CQ98" i="12" s="1"/>
  <c r="Q98" i="12"/>
  <c r="CI98" i="12" s="1"/>
  <c r="X98" i="12"/>
  <c r="CP98" i="12" s="1"/>
  <c r="P98" i="12"/>
  <c r="CH98" i="12" s="1"/>
  <c r="W98" i="12"/>
  <c r="CO98" i="12" s="1"/>
  <c r="O98" i="12"/>
  <c r="CG98" i="12" s="1"/>
  <c r="V98" i="12"/>
  <c r="N98" i="12"/>
  <c r="Y152" i="13"/>
  <c r="CQ152" i="13" s="1"/>
  <c r="U152" i="13"/>
  <c r="CM152" i="13" s="1"/>
  <c r="O152" i="13"/>
  <c r="CG152" i="13" s="1"/>
  <c r="M152" i="13"/>
  <c r="CE152" i="13" s="1"/>
  <c r="X152" i="13"/>
  <c r="CP152" i="13" s="1"/>
  <c r="V152" i="13"/>
  <c r="P152" i="13"/>
  <c r="CH152" i="13" s="1"/>
  <c r="N152" i="13"/>
  <c r="Z152" i="13"/>
  <c r="CR152" i="13" s="1"/>
  <c r="CS152" i="13" s="1"/>
  <c r="W152" i="13"/>
  <c r="CO152" i="13" s="1"/>
  <c r="R152" i="13"/>
  <c r="Q152" i="13"/>
  <c r="CI152" i="13" s="1"/>
  <c r="S152" i="13"/>
  <c r="T152" i="13"/>
  <c r="CL152" i="13" s="1"/>
  <c r="Y84" i="14"/>
  <c r="CQ84" i="14" s="1"/>
  <c r="N84" i="14"/>
  <c r="Q84" i="14"/>
  <c r="CI84" i="14" s="1"/>
  <c r="U84" i="14"/>
  <c r="CM84" i="14" s="1"/>
  <c r="X84" i="14"/>
  <c r="CP84" i="14" s="1"/>
  <c r="M84" i="14"/>
  <c r="CE84" i="14" s="1"/>
  <c r="P84" i="14"/>
  <c r="CH84" i="14" s="1"/>
  <c r="T84" i="14"/>
  <c r="CL84" i="14" s="1"/>
  <c r="S84" i="14"/>
  <c r="Z84" i="14"/>
  <c r="CR84" i="14" s="1"/>
  <c r="CS84" i="14" s="1"/>
  <c r="W84" i="14"/>
  <c r="CO84" i="14" s="1"/>
  <c r="R84" i="14"/>
  <c r="V84" i="14"/>
  <c r="O84" i="14"/>
  <c r="CG84" i="14" s="1"/>
  <c r="Z157" i="13"/>
  <c r="CR157" i="13" s="1"/>
  <c r="CS157" i="13" s="1"/>
  <c r="V157" i="13"/>
  <c r="S157" i="13"/>
  <c r="O157" i="13"/>
  <c r="CG157" i="13" s="1"/>
  <c r="T157" i="13"/>
  <c r="CL157" i="13" s="1"/>
  <c r="W157" i="13"/>
  <c r="CO157" i="13" s="1"/>
  <c r="X157" i="13"/>
  <c r="CP157" i="13" s="1"/>
  <c r="M157" i="13"/>
  <c r="CE157" i="13" s="1"/>
  <c r="Q157" i="13"/>
  <c r="CI157" i="13" s="1"/>
  <c r="U157" i="13"/>
  <c r="CM157" i="13" s="1"/>
  <c r="P157" i="13"/>
  <c r="CH157" i="13" s="1"/>
  <c r="N157" i="13"/>
  <c r="Y157" i="13"/>
  <c r="CQ157" i="13" s="1"/>
  <c r="R157" i="13"/>
  <c r="CL40" i="14"/>
  <c r="CH40" i="14"/>
  <c r="CP111" i="13"/>
  <c r="CM111" i="13"/>
  <c r="CE39" i="14"/>
  <c r="CR109" i="13"/>
  <c r="CS109" i="13" s="1"/>
  <c r="CE109" i="13"/>
  <c r="DA70" i="12"/>
  <c r="DU70" i="12" s="1"/>
  <c r="CN70" i="12"/>
  <c r="CP70" i="12"/>
  <c r="CF106" i="13"/>
  <c r="CX106" i="13"/>
  <c r="DR106" i="13" s="1"/>
  <c r="CL106" i="13"/>
  <c r="CI107" i="13"/>
  <c r="DA107" i="13"/>
  <c r="DU107" i="13" s="1"/>
  <c r="CN107" i="13"/>
  <c r="CH42" i="14"/>
  <c r="CZ42" i="14"/>
  <c r="DT42" i="14" s="1"/>
  <c r="CK42" i="14"/>
  <c r="CM105" i="13"/>
  <c r="CR63" i="12"/>
  <c r="J63" i="12" s="1"/>
  <c r="CG63" i="12"/>
  <c r="CQ62" i="12"/>
  <c r="CP62" i="12"/>
  <c r="DR38" i="14"/>
  <c r="CZ38" i="14"/>
  <c r="DT38" i="14" s="1"/>
  <c r="CK38" i="14"/>
  <c r="CI69" i="12"/>
  <c r="CG38" i="14"/>
  <c r="CN112" i="13"/>
  <c r="DA112" i="13"/>
  <c r="DU112" i="13" s="1"/>
  <c r="CM66" i="12"/>
  <c r="CO66" i="12"/>
  <c r="CY73" i="12"/>
  <c r="DS73" i="12" s="1"/>
  <c r="CJ73" i="12"/>
  <c r="CN73" i="12"/>
  <c r="DA73" i="12"/>
  <c r="DU73" i="12" s="1"/>
  <c r="CH41" i="14"/>
  <c r="CF41" i="14"/>
  <c r="CX41" i="14"/>
  <c r="DR41" i="14" s="1"/>
  <c r="CQ104" i="13"/>
  <c r="CR72" i="12"/>
  <c r="CS72" i="12" s="1"/>
  <c r="DA72" i="12"/>
  <c r="DU72" i="12" s="1"/>
  <c r="CN72" i="12"/>
  <c r="CY67" i="12"/>
  <c r="DS67" i="12" s="1"/>
  <c r="CJ67" i="12"/>
  <c r="CY37" i="14"/>
  <c r="DS37" i="14" s="1"/>
  <c r="CJ37" i="14"/>
  <c r="DA37" i="14"/>
  <c r="DU37" i="14" s="1"/>
  <c r="CN37" i="14"/>
  <c r="CO108" i="13"/>
  <c r="CE108" i="13"/>
  <c r="CX114" i="13"/>
  <c r="DR114" i="13" s="1"/>
  <c r="CF114" i="13"/>
  <c r="CR64" i="12"/>
  <c r="CI64" i="12"/>
  <c r="CZ17" i="15"/>
  <c r="DT17" i="15" s="1"/>
  <c r="CK17" i="15"/>
  <c r="CG17" i="15"/>
  <c r="CG36" i="14"/>
  <c r="CI36" i="14"/>
  <c r="CR110" i="13"/>
  <c r="CS110" i="13" s="1"/>
  <c r="CP110" i="13"/>
  <c r="CE65" i="12"/>
  <c r="CG74" i="12"/>
  <c r="H101" i="12"/>
  <c r="CK115" i="13"/>
  <c r="CZ115" i="13"/>
  <c r="DT115" i="13" s="1"/>
  <c r="CH113" i="13"/>
  <c r="CM113" i="13"/>
  <c r="CN71" i="12"/>
  <c r="DA71" i="12"/>
  <c r="DU71" i="12" s="1"/>
  <c r="CR71" i="12"/>
  <c r="CS71" i="12" s="1"/>
  <c r="V96" i="12"/>
  <c r="S96" i="12"/>
  <c r="N96" i="12"/>
  <c r="Z96" i="12"/>
  <c r="CR96" i="12" s="1"/>
  <c r="CS96" i="12" s="1"/>
  <c r="Q96" i="12"/>
  <c r="CI96" i="12" s="1"/>
  <c r="Y96" i="12"/>
  <c r="CQ96" i="12" s="1"/>
  <c r="X96" i="12"/>
  <c r="CP96" i="12" s="1"/>
  <c r="O96" i="12"/>
  <c r="CG96" i="12" s="1"/>
  <c r="P96" i="12"/>
  <c r="CH96" i="12" s="1"/>
  <c r="M96" i="12"/>
  <c r="CE96" i="12" s="1"/>
  <c r="W96" i="12"/>
  <c r="CO96" i="12" s="1"/>
  <c r="T96" i="12"/>
  <c r="CL96" i="12" s="1"/>
  <c r="U96" i="12"/>
  <c r="CM96" i="12" s="1"/>
  <c r="R96" i="12"/>
  <c r="V88" i="12"/>
  <c r="U88" i="12"/>
  <c r="CM88" i="12" s="1"/>
  <c r="T88" i="12"/>
  <c r="CL88" i="12" s="1"/>
  <c r="S88" i="12"/>
  <c r="N88" i="12"/>
  <c r="M88" i="12"/>
  <c r="CE88" i="12" s="1"/>
  <c r="Z88" i="12"/>
  <c r="CR88" i="12" s="1"/>
  <c r="J88" i="12" s="1"/>
  <c r="W88" i="12"/>
  <c r="CO88" i="12" s="1"/>
  <c r="O88" i="12"/>
  <c r="CG88" i="12" s="1"/>
  <c r="P88" i="12"/>
  <c r="CH88" i="12" s="1"/>
  <c r="X88" i="12"/>
  <c r="CP88" i="12" s="1"/>
  <c r="Q88" i="12"/>
  <c r="CI88" i="12" s="1"/>
  <c r="R88" i="12"/>
  <c r="Y88" i="12"/>
  <c r="CQ88" i="12" s="1"/>
  <c r="S146" i="13"/>
  <c r="Z146" i="13"/>
  <c r="CR146" i="13" s="1"/>
  <c r="J146" i="13" s="1"/>
  <c r="W146" i="13"/>
  <c r="CO146" i="13" s="1"/>
  <c r="R146" i="13"/>
  <c r="U146" i="13"/>
  <c r="CM146" i="13" s="1"/>
  <c r="M146" i="13"/>
  <c r="CE146" i="13" s="1"/>
  <c r="P146" i="13"/>
  <c r="CH146" i="13" s="1"/>
  <c r="O146" i="13"/>
  <c r="CG146" i="13" s="1"/>
  <c r="Y146" i="13"/>
  <c r="CQ146" i="13" s="1"/>
  <c r="X146" i="13"/>
  <c r="CP146" i="13" s="1"/>
  <c r="T146" i="13"/>
  <c r="CL146" i="13" s="1"/>
  <c r="Q146" i="13"/>
  <c r="CI146" i="13" s="1"/>
  <c r="V146" i="13"/>
  <c r="N146" i="13"/>
  <c r="R82" i="14"/>
  <c r="W82" i="14"/>
  <c r="CO82" i="14" s="1"/>
  <c r="U82" i="14"/>
  <c r="CM82" i="14" s="1"/>
  <c r="Y82" i="14"/>
  <c r="CQ82" i="14" s="1"/>
  <c r="M82" i="14"/>
  <c r="CE82" i="14" s="1"/>
  <c r="Q82" i="14"/>
  <c r="CI82" i="14" s="1"/>
  <c r="O82" i="14"/>
  <c r="CG82" i="14" s="1"/>
  <c r="X82" i="14"/>
  <c r="CP82" i="14" s="1"/>
  <c r="T82" i="14"/>
  <c r="CL82" i="14" s="1"/>
  <c r="P82" i="14"/>
  <c r="CH82" i="14" s="1"/>
  <c r="Z82" i="14"/>
  <c r="CR82" i="14" s="1"/>
  <c r="J82" i="14" s="1"/>
  <c r="N82" i="14"/>
  <c r="S82" i="14"/>
  <c r="V82" i="14"/>
  <c r="CO40" i="14"/>
  <c r="CY40" i="14"/>
  <c r="DS40" i="14" s="1"/>
  <c r="CJ40" i="14"/>
  <c r="CK111" i="13"/>
  <c r="CZ111" i="13"/>
  <c r="DT111" i="13" s="1"/>
  <c r="CE111" i="13"/>
  <c r="CR39" i="14"/>
  <c r="J39" i="14" s="1"/>
  <c r="CG109" i="13"/>
  <c r="CL109" i="13"/>
  <c r="CL70" i="12"/>
  <c r="CE70" i="12"/>
  <c r="CJ106" i="13"/>
  <c r="CY106" i="13"/>
  <c r="DS106" i="13" s="1"/>
  <c r="CI106" i="13"/>
  <c r="CE107" i="13"/>
  <c r="CJ107" i="13"/>
  <c r="CY107" i="13"/>
  <c r="DS107" i="13" s="1"/>
  <c r="DZ107" i="13" s="1"/>
  <c r="EE107" i="13" s="1"/>
  <c r="CY42" i="14"/>
  <c r="DS42" i="14" s="1"/>
  <c r="CJ42" i="14"/>
  <c r="DA105" i="13"/>
  <c r="DU105" i="13" s="1"/>
  <c r="CN105" i="13"/>
  <c r="CY105" i="13"/>
  <c r="DS105" i="13" s="1"/>
  <c r="CJ105" i="13"/>
  <c r="CZ63" i="12"/>
  <c r="DT63" i="12" s="1"/>
  <c r="CK63" i="12"/>
  <c r="CM63" i="12"/>
  <c r="CE62" i="12"/>
  <c r="CO62" i="12"/>
  <c r="CX103" i="13"/>
  <c r="DR103" i="13" s="1"/>
  <c r="CF103" i="13"/>
  <c r="CQ69" i="12"/>
  <c r="CL69" i="12"/>
  <c r="DA68" i="12"/>
  <c r="DU68" i="12" s="1"/>
  <c r="CN68" i="12"/>
  <c r="CO38" i="14"/>
  <c r="CP112" i="13"/>
  <c r="CI112" i="13"/>
  <c r="CX66" i="12"/>
  <c r="DR66" i="12" s="1"/>
  <c r="CF66" i="12"/>
  <c r="CZ66" i="12"/>
  <c r="DT66" i="12" s="1"/>
  <c r="CK66" i="12"/>
  <c r="CZ73" i="12"/>
  <c r="DT73" i="12" s="1"/>
  <c r="CK73" i="12"/>
  <c r="CE73" i="12"/>
  <c r="CQ39" i="14"/>
  <c r="CO41" i="14"/>
  <c r="CY41" i="14"/>
  <c r="DS41" i="14" s="1"/>
  <c r="DZ41" i="14" s="1"/>
  <c r="EE41" i="14" s="1"/>
  <c r="CJ41" i="14"/>
  <c r="CM104" i="13"/>
  <c r="CQ72" i="12"/>
  <c r="CH72" i="12"/>
  <c r="DA67" i="12"/>
  <c r="DU67" i="12" s="1"/>
  <c r="CN67" i="12"/>
  <c r="CZ37" i="14"/>
  <c r="DT37" i="14" s="1"/>
  <c r="CK37" i="14"/>
  <c r="CO37" i="14"/>
  <c r="CI108" i="13"/>
  <c r="CL108" i="13"/>
  <c r="CQ114" i="13"/>
  <c r="CZ64" i="12"/>
  <c r="DT64" i="12" s="1"/>
  <c r="CK64" i="12"/>
  <c r="CM64" i="12"/>
  <c r="DA17" i="15"/>
  <c r="DU17" i="15" s="1"/>
  <c r="CN17" i="15"/>
  <c r="CH17" i="15"/>
  <c r="CM36" i="14"/>
  <c r="CQ36" i="14"/>
  <c r="DA110" i="13"/>
  <c r="DU110" i="13" s="1"/>
  <c r="CN110" i="13"/>
  <c r="CZ65" i="12"/>
  <c r="DT65" i="12" s="1"/>
  <c r="CK65" i="12"/>
  <c r="CG65" i="12"/>
  <c r="CS149" i="13"/>
  <c r="CH115" i="13"/>
  <c r="DA115" i="13"/>
  <c r="DU115" i="13" s="1"/>
  <c r="CN115" i="13"/>
  <c r="CN113" i="13"/>
  <c r="DA113" i="13"/>
  <c r="DU113" i="13" s="1"/>
  <c r="CZ113" i="13"/>
  <c r="DT113" i="13" s="1"/>
  <c r="CK113" i="13"/>
  <c r="CY71" i="12"/>
  <c r="DS71" i="12" s="1"/>
  <c r="CJ71" i="12"/>
  <c r="CI71" i="12"/>
  <c r="V95" i="12"/>
  <c r="P95" i="12"/>
  <c r="CH95" i="12" s="1"/>
  <c r="O95" i="12"/>
  <c r="CG95" i="12" s="1"/>
  <c r="N95" i="12"/>
  <c r="X95" i="12"/>
  <c r="CP95" i="12" s="1"/>
  <c r="W95" i="12"/>
  <c r="CO95" i="12" s="1"/>
  <c r="T95" i="12"/>
  <c r="CL95" i="12" s="1"/>
  <c r="S95" i="12"/>
  <c r="R95" i="12"/>
  <c r="Z95" i="12"/>
  <c r="CR95" i="12" s="1"/>
  <c r="CS95" i="12" s="1"/>
  <c r="Q95" i="12"/>
  <c r="CI95" i="12" s="1"/>
  <c r="M95" i="12"/>
  <c r="CE95" i="12" s="1"/>
  <c r="U95" i="12"/>
  <c r="CM95" i="12" s="1"/>
  <c r="Y95" i="12"/>
  <c r="CQ95" i="12" s="1"/>
  <c r="Y93" i="12"/>
  <c r="CQ93" i="12" s="1"/>
  <c r="M93" i="12"/>
  <c r="CE93" i="12" s="1"/>
  <c r="U93" i="12"/>
  <c r="CM93" i="12" s="1"/>
  <c r="R93" i="12"/>
  <c r="Z93" i="12"/>
  <c r="CR93" i="12" s="1"/>
  <c r="CS93" i="12" s="1"/>
  <c r="N93" i="12"/>
  <c r="V93" i="12"/>
  <c r="W93" i="12"/>
  <c r="CO93" i="12" s="1"/>
  <c r="Q93" i="12"/>
  <c r="CI93" i="12" s="1"/>
  <c r="T93" i="12"/>
  <c r="CL93" i="12" s="1"/>
  <c r="X93" i="12"/>
  <c r="CP93" i="12" s="1"/>
  <c r="S93" i="12"/>
  <c r="O93" i="12"/>
  <c r="CG93" i="12" s="1"/>
  <c r="P93" i="12"/>
  <c r="CH93" i="12" s="1"/>
  <c r="M158" i="13"/>
  <c r="CE158" i="13" s="1"/>
  <c r="R158" i="13"/>
  <c r="U158" i="13"/>
  <c r="CM158" i="13" s="1"/>
  <c r="Q158" i="13"/>
  <c r="CI158" i="13" s="1"/>
  <c r="Y158" i="13"/>
  <c r="CQ158" i="13" s="1"/>
  <c r="V158" i="13"/>
  <c r="N158" i="13"/>
  <c r="O158" i="13"/>
  <c r="CG158" i="13" s="1"/>
  <c r="S158" i="13"/>
  <c r="W158" i="13"/>
  <c r="CO158" i="13" s="1"/>
  <c r="Z158" i="13"/>
  <c r="CR158" i="13" s="1"/>
  <c r="J158" i="13" s="1"/>
  <c r="T158" i="13"/>
  <c r="CL158" i="13" s="1"/>
  <c r="P158" i="13"/>
  <c r="CH158" i="13" s="1"/>
  <c r="X158" i="13"/>
  <c r="CP158" i="13" s="1"/>
  <c r="CG40" i="14"/>
  <c r="CZ40" i="14"/>
  <c r="DT40" i="14" s="1"/>
  <c r="CK40" i="14"/>
  <c r="CO111" i="13"/>
  <c r="CI39" i="14"/>
  <c r="CX109" i="13"/>
  <c r="DR109" i="13" s="1"/>
  <c r="CF109" i="13"/>
  <c r="CO109" i="13"/>
  <c r="CO70" i="12"/>
  <c r="CQ70" i="12"/>
  <c r="CH106" i="13"/>
  <c r="CZ106" i="13"/>
  <c r="DT106" i="13" s="1"/>
  <c r="CK106" i="13"/>
  <c r="CP107" i="13"/>
  <c r="CX107" i="13"/>
  <c r="DR107" i="13" s="1"/>
  <c r="CF107" i="13"/>
  <c r="CE42" i="14"/>
  <c r="CK105" i="13"/>
  <c r="CZ105" i="13"/>
  <c r="DT105" i="13" s="1"/>
  <c r="CE105" i="13"/>
  <c r="CO63" i="12"/>
  <c r="CY63" i="12"/>
  <c r="DS63" i="12" s="1"/>
  <c r="CJ63" i="12"/>
  <c r="CM62" i="12"/>
  <c r="CI62" i="12"/>
  <c r="CY56" i="8"/>
  <c r="DS56" i="8" s="1"/>
  <c r="R57" i="8"/>
  <c r="CZ56" i="8"/>
  <c r="DT56" i="8" s="1"/>
  <c r="S57" i="8"/>
  <c r="DT50" i="8"/>
  <c r="DS52" i="8"/>
  <c r="DS47" i="8"/>
  <c r="DU100" i="8"/>
  <c r="DS45" i="8"/>
  <c r="DU46" i="8"/>
  <c r="DR105" i="8"/>
  <c r="DS50" i="8"/>
  <c r="DU106" i="8"/>
  <c r="DS106" i="8"/>
  <c r="DR96" i="8"/>
  <c r="DR50" i="8"/>
  <c r="DS104" i="8"/>
  <c r="DR106" i="8"/>
  <c r="DT52" i="8"/>
  <c r="DT47" i="8"/>
  <c r="DT97" i="8"/>
  <c r="DT95" i="8"/>
  <c r="DS99" i="8"/>
  <c r="DT102" i="8"/>
  <c r="DS54" i="8"/>
  <c r="DU105" i="8"/>
  <c r="DR47" i="8"/>
  <c r="DS100" i="8"/>
  <c r="DU97" i="8"/>
  <c r="DS46" i="8"/>
  <c r="DT54" i="8"/>
  <c r="DU103" i="8"/>
  <c r="DU48" i="8"/>
  <c r="DS105" i="8"/>
  <c r="DR100" i="8"/>
  <c r="DT53" i="8"/>
  <c r="DT45" i="8"/>
  <c r="DS98" i="8"/>
  <c r="DR46" i="8"/>
  <c r="DS95" i="8"/>
  <c r="DS55" i="8"/>
  <c r="DR55" i="8"/>
  <c r="DR99" i="8"/>
  <c r="DR102" i="8"/>
  <c r="DR54" i="8"/>
  <c r="DR48" i="8"/>
  <c r="DT100" i="8"/>
  <c r="DR53" i="8"/>
  <c r="DR45" i="8"/>
  <c r="DS97" i="8"/>
  <c r="DT46" i="8"/>
  <c r="DU55" i="8"/>
  <c r="DU51" i="8"/>
  <c r="DU99" i="8"/>
  <c r="DU102" i="8"/>
  <c r="DU101" i="8"/>
  <c r="DU54" i="8"/>
  <c r="DU96" i="8"/>
  <c r="DS48" i="8"/>
  <c r="DT105" i="8"/>
  <c r="DU52" i="8"/>
  <c r="DU47" i="8"/>
  <c r="DU53" i="8"/>
  <c r="DU45" i="8"/>
  <c r="DU50" i="8"/>
  <c r="DT98" i="8"/>
  <c r="DU104" i="8"/>
  <c r="DR95" i="8"/>
  <c r="DT51" i="8"/>
  <c r="DT99" i="8"/>
  <c r="DS96" i="8"/>
  <c r="DU98" i="8"/>
  <c r="DR52" i="8"/>
  <c r="DR104" i="8"/>
  <c r="DU95" i="8"/>
  <c r="DR49" i="8"/>
  <c r="DS49" i="8"/>
  <c r="DS51" i="8"/>
  <c r="DS102" i="8"/>
  <c r="DS101" i="8"/>
  <c r="DR56" i="8"/>
  <c r="DT106" i="8"/>
  <c r="DS53" i="8"/>
  <c r="DR98" i="8"/>
  <c r="DT104" i="8"/>
  <c r="DU49" i="8"/>
  <c r="DT49" i="8"/>
  <c r="DT55" i="8"/>
  <c r="DR51" i="8"/>
  <c r="DT96" i="8"/>
  <c r="DT48" i="8"/>
  <c r="DU56" i="8"/>
  <c r="CG104" i="8"/>
  <c r="CF106" i="8"/>
  <c r="CE50" i="8"/>
  <c r="CH50" i="8"/>
  <c r="CJ106" i="8"/>
  <c r="CH104" i="8"/>
  <c r="CK50" i="8"/>
  <c r="CR106" i="8"/>
  <c r="CS106" i="8" s="1"/>
  <c r="CP106" i="8"/>
  <c r="CN106" i="8"/>
  <c r="CE104" i="8"/>
  <c r="CI50" i="8"/>
  <c r="CN50" i="8"/>
  <c r="CI104" i="8"/>
  <c r="CQ104" i="8"/>
  <c r="CJ50" i="8"/>
  <c r="CO50" i="8"/>
  <c r="CG106" i="8"/>
  <c r="CK106" i="8"/>
  <c r="CI106" i="8"/>
  <c r="CN104" i="8"/>
  <c r="CJ104" i="8"/>
  <c r="CG50" i="8"/>
  <c r="CR104" i="8"/>
  <c r="J104" i="8" s="1"/>
  <c r="CO106" i="8"/>
  <c r="CQ50" i="8"/>
  <c r="CP104" i="8"/>
  <c r="CM104" i="8"/>
  <c r="CH106" i="8"/>
  <c r="CL106" i="8"/>
  <c r="CL50" i="8"/>
  <c r="CE106" i="8"/>
  <c r="CR50" i="8"/>
  <c r="CS50" i="8" s="1"/>
  <c r="CO102" i="8"/>
  <c r="CM106" i="8"/>
  <c r="CQ106" i="8"/>
  <c r="CM50" i="8"/>
  <c r="CF104" i="8"/>
  <c r="CK104" i="8"/>
  <c r="CP50" i="8"/>
  <c r="CF50" i="8"/>
  <c r="CL104" i="8"/>
  <c r="CQ52" i="8"/>
  <c r="CF52" i="8"/>
  <c r="CQ47" i="8"/>
  <c r="CK47" i="8"/>
  <c r="CN100" i="8"/>
  <c r="CH100" i="8"/>
  <c r="CL53" i="8"/>
  <c r="CH53" i="8"/>
  <c r="CR45" i="8"/>
  <c r="CK45" i="8"/>
  <c r="CM98" i="8"/>
  <c r="CG98" i="8"/>
  <c r="CK97" i="8"/>
  <c r="CG46" i="8"/>
  <c r="CF46" i="8"/>
  <c r="CN95" i="8"/>
  <c r="CF49" i="8"/>
  <c r="CJ49" i="8"/>
  <c r="CG55" i="8"/>
  <c r="CE55" i="8"/>
  <c r="CN51" i="8"/>
  <c r="CI51" i="8"/>
  <c r="CO99" i="8"/>
  <c r="CR102" i="8"/>
  <c r="CG102" i="8"/>
  <c r="CN54" i="8"/>
  <c r="CE96" i="8"/>
  <c r="CK96" i="8"/>
  <c r="CM48" i="8"/>
  <c r="CF56" i="8"/>
  <c r="CQ105" i="8"/>
  <c r="CN105" i="8"/>
  <c r="CH52" i="8"/>
  <c r="CO52" i="8"/>
  <c r="CF47" i="8"/>
  <c r="CL47" i="8"/>
  <c r="CQ100" i="8"/>
  <c r="CP100" i="8"/>
  <c r="CM53" i="8"/>
  <c r="CP53" i="8"/>
  <c r="CH45" i="8"/>
  <c r="CF45" i="8"/>
  <c r="CQ98" i="8"/>
  <c r="CO98" i="8"/>
  <c r="CI97" i="8"/>
  <c r="CN97" i="8"/>
  <c r="CO46" i="8"/>
  <c r="CK46" i="8"/>
  <c r="CG95" i="8"/>
  <c r="CH95" i="8"/>
  <c r="CN49" i="8"/>
  <c r="CK49" i="8"/>
  <c r="CH55" i="8"/>
  <c r="CM55" i="8"/>
  <c r="CK51" i="8"/>
  <c r="CQ51" i="8"/>
  <c r="CJ102" i="8"/>
  <c r="CR54" i="8"/>
  <c r="CH54" i="8"/>
  <c r="CF96" i="8"/>
  <c r="CL96" i="8"/>
  <c r="CR48" i="8"/>
  <c r="CN48" i="8"/>
  <c r="CN56" i="8"/>
  <c r="CJ105" i="8"/>
  <c r="CG105" i="8"/>
  <c r="CJ52" i="8"/>
  <c r="CP52" i="8"/>
  <c r="CG47" i="8"/>
  <c r="CE47" i="8"/>
  <c r="CE100" i="8"/>
  <c r="CJ100" i="8"/>
  <c r="CQ53" i="8"/>
  <c r="CI45" i="8"/>
  <c r="CN45" i="8"/>
  <c r="CJ98" i="8"/>
  <c r="CH98" i="8"/>
  <c r="CQ97" i="8"/>
  <c r="CH46" i="8"/>
  <c r="CL95" i="8"/>
  <c r="CP95" i="8"/>
  <c r="CH49" i="8"/>
  <c r="CL49" i="8"/>
  <c r="CJ55" i="8"/>
  <c r="CF55" i="8"/>
  <c r="CL51" i="8"/>
  <c r="CJ51" i="8"/>
  <c r="CJ99" i="8"/>
  <c r="CI102" i="8"/>
  <c r="CH102" i="8"/>
  <c r="CN101" i="8"/>
  <c r="CE54" i="8"/>
  <c r="CP54" i="8"/>
  <c r="CG96" i="8"/>
  <c r="CQ48" i="8"/>
  <c r="CF48" i="8"/>
  <c r="CR56" i="8"/>
  <c r="CG56" i="8"/>
  <c r="CR105" i="8"/>
  <c r="CO105" i="8"/>
  <c r="CK52" i="8"/>
  <c r="CL52" i="8"/>
  <c r="CO47" i="8"/>
  <c r="CM47" i="8"/>
  <c r="CF100" i="8"/>
  <c r="CR100" i="8"/>
  <c r="CK53" i="8"/>
  <c r="CQ45" i="8"/>
  <c r="CG45" i="8"/>
  <c r="CR98" i="8"/>
  <c r="CP98" i="8"/>
  <c r="CJ97" i="8"/>
  <c r="CI46" i="8"/>
  <c r="CK95" i="8"/>
  <c r="CI95" i="8"/>
  <c r="CP49" i="8"/>
  <c r="CO55" i="8"/>
  <c r="CN55" i="8"/>
  <c r="CM51" i="8"/>
  <c r="CF51" i="8"/>
  <c r="CM99" i="8"/>
  <c r="CR99" i="8"/>
  <c r="CE102" i="8"/>
  <c r="CP102" i="8"/>
  <c r="CQ101" i="8"/>
  <c r="CG54" i="8"/>
  <c r="CI54" i="8"/>
  <c r="CO96" i="8"/>
  <c r="CH103" i="8"/>
  <c r="CJ48" i="8"/>
  <c r="CG48" i="8"/>
  <c r="CK56" i="8"/>
  <c r="CO56" i="8"/>
  <c r="CK105" i="8"/>
  <c r="CI52" i="8"/>
  <c r="CH47" i="8"/>
  <c r="CN47" i="8"/>
  <c r="CI100" i="8"/>
  <c r="CK100" i="8"/>
  <c r="CR53" i="8"/>
  <c r="CF53" i="8"/>
  <c r="CP45" i="8"/>
  <c r="CO45" i="8"/>
  <c r="CK98" i="8"/>
  <c r="CO97" i="8"/>
  <c r="CR97" i="8"/>
  <c r="CR46" i="8"/>
  <c r="CQ46" i="8"/>
  <c r="CO95" i="8"/>
  <c r="CQ95" i="8"/>
  <c r="CG49" i="8"/>
  <c r="CI55" i="8"/>
  <c r="CG51" i="8"/>
  <c r="CE51" i="8"/>
  <c r="CF99" i="8"/>
  <c r="CK102" i="8"/>
  <c r="CJ101" i="8"/>
  <c r="CL54" i="8"/>
  <c r="CQ54" i="8"/>
  <c r="CM96" i="8"/>
  <c r="CH96" i="8"/>
  <c r="CL48" i="8"/>
  <c r="CO48" i="8"/>
  <c r="CJ56" i="8"/>
  <c r="CH56" i="8"/>
  <c r="CL105" i="8"/>
  <c r="CM52" i="8"/>
  <c r="CP47" i="8"/>
  <c r="CM100" i="8"/>
  <c r="CL100" i="8"/>
  <c r="CE53" i="8"/>
  <c r="CN53" i="8"/>
  <c r="CJ45" i="8"/>
  <c r="CE45" i="8"/>
  <c r="CL98" i="8"/>
  <c r="CP97" i="8"/>
  <c r="CL97" i="8"/>
  <c r="CL46" i="8"/>
  <c r="CN46" i="8"/>
  <c r="CE95" i="8"/>
  <c r="CJ95" i="8"/>
  <c r="CR49" i="8"/>
  <c r="CQ49" i="8"/>
  <c r="CQ55" i="8"/>
  <c r="CO51" i="8"/>
  <c r="CN99" i="8"/>
  <c r="CL102" i="8"/>
  <c r="CG101" i="8"/>
  <c r="CO54" i="8"/>
  <c r="CJ54" i="8"/>
  <c r="CN96" i="8"/>
  <c r="CP96" i="8"/>
  <c r="CL103" i="8"/>
  <c r="CI103" i="8"/>
  <c r="CI48" i="8"/>
  <c r="CH48" i="8"/>
  <c r="CL56" i="8"/>
  <c r="CP56" i="8"/>
  <c r="CP105" i="8"/>
  <c r="CE105" i="8"/>
  <c r="CR52" i="8"/>
  <c r="CE52" i="8"/>
  <c r="CI47" i="8"/>
  <c r="CG100" i="8"/>
  <c r="CI53" i="8"/>
  <c r="CG53" i="8"/>
  <c r="CL45" i="8"/>
  <c r="CE98" i="8"/>
  <c r="CF98" i="8"/>
  <c r="CE46" i="8"/>
  <c r="CP46" i="8"/>
  <c r="CM95" i="8"/>
  <c r="CR95" i="8"/>
  <c r="CE49" i="8"/>
  <c r="CO49" i="8"/>
  <c r="CR55" i="8"/>
  <c r="CK55" i="8"/>
  <c r="CH51" i="8"/>
  <c r="CH99" i="8"/>
  <c r="CM102" i="8"/>
  <c r="CF102" i="8"/>
  <c r="CL101" i="8"/>
  <c r="CM54" i="8"/>
  <c r="CK54" i="8"/>
  <c r="CQ96" i="8"/>
  <c r="CJ96" i="8"/>
  <c r="CK48" i="8"/>
  <c r="CP48" i="8"/>
  <c r="CE56" i="8"/>
  <c r="CI56" i="8"/>
  <c r="CH105" i="8"/>
  <c r="CM105" i="8"/>
  <c r="CO104" i="8"/>
  <c r="CG52" i="8"/>
  <c r="CN52" i="8"/>
  <c r="CR47" i="8"/>
  <c r="CJ47" i="8"/>
  <c r="CO100" i="8"/>
  <c r="CJ53" i="8"/>
  <c r="CO53" i="8"/>
  <c r="CM45" i="8"/>
  <c r="CI98" i="8"/>
  <c r="CN98" i="8"/>
  <c r="CH97" i="8"/>
  <c r="CM97" i="8"/>
  <c r="CM46" i="8"/>
  <c r="CJ46" i="8"/>
  <c r="CF95" i="8"/>
  <c r="CM49" i="8"/>
  <c r="CI49" i="8"/>
  <c r="CP55" i="8"/>
  <c r="CL55" i="8"/>
  <c r="CR51" i="8"/>
  <c r="CP51" i="8"/>
  <c r="CQ102" i="8"/>
  <c r="CN102" i="8"/>
  <c r="CE101" i="8"/>
  <c r="CF54" i="8"/>
  <c r="CI96" i="8"/>
  <c r="CR96" i="8"/>
  <c r="CE48" i="8"/>
  <c r="CM56" i="8"/>
  <c r="CQ56" i="8"/>
  <c r="CI105" i="8"/>
  <c r="CF105" i="8"/>
  <c r="G76" i="1"/>
  <c r="G83" i="1"/>
  <c r="I59" i="1"/>
  <c r="J59" i="1" s="1"/>
  <c r="G77" i="1"/>
  <c r="G81" i="1"/>
  <c r="G82" i="1"/>
  <c r="F74" i="1"/>
  <c r="P74" i="1"/>
  <c r="P75" i="1"/>
  <c r="P76" i="1"/>
  <c r="P77" i="1"/>
  <c r="P78" i="1"/>
  <c r="P80" i="1"/>
  <c r="P81" i="1"/>
  <c r="P82" i="1"/>
  <c r="P83" i="1"/>
  <c r="P84" i="1"/>
  <c r="G78" i="1"/>
  <c r="G84" i="1"/>
  <c r="Q83" i="1"/>
  <c r="Q84" i="1"/>
  <c r="G75" i="1"/>
  <c r="G80" i="1"/>
  <c r="I60" i="1"/>
  <c r="J60" i="1" s="1"/>
  <c r="E82" i="1"/>
  <c r="O77" i="1"/>
  <c r="O81" i="1"/>
  <c r="O75" i="1"/>
  <c r="O84" i="1"/>
  <c r="O78" i="1"/>
  <c r="E74" i="1"/>
  <c r="O82" i="1"/>
  <c r="O83" i="1"/>
  <c r="S47" i="1"/>
  <c r="T47" i="1" s="1"/>
  <c r="S51" i="1"/>
  <c r="T51" i="1" s="1"/>
  <c r="I48" i="1"/>
  <c r="J48" i="1" s="1"/>
  <c r="I50" i="1"/>
  <c r="J50" i="1" s="1"/>
  <c r="I52" i="1"/>
  <c r="J52" i="1" s="1"/>
  <c r="I54" i="1"/>
  <c r="J54" i="1" s="1"/>
  <c r="I58" i="1"/>
  <c r="J58" i="1" s="1"/>
  <c r="I62" i="1"/>
  <c r="J62" i="1" s="1"/>
  <c r="I64" i="1"/>
  <c r="J64" i="1" s="1"/>
  <c r="I56" i="1"/>
  <c r="J56" i="1" s="1"/>
  <c r="I53" i="1"/>
  <c r="J53" i="1" s="1"/>
  <c r="I57" i="1"/>
  <c r="J57" i="1" s="1"/>
  <c r="I55" i="1"/>
  <c r="J55" i="1" s="1"/>
  <c r="I63" i="1"/>
  <c r="J63" i="1" s="1"/>
  <c r="I65" i="1"/>
  <c r="J65" i="1" s="1"/>
  <c r="I47" i="1"/>
  <c r="J47" i="1" s="1"/>
  <c r="S57" i="1"/>
  <c r="T57" i="1" s="1"/>
  <c r="S61" i="1"/>
  <c r="T61" i="1" s="1"/>
  <c r="S55" i="1"/>
  <c r="T55" i="1" s="1"/>
  <c r="S63" i="1"/>
  <c r="T63" i="1" s="1"/>
  <c r="I49" i="1"/>
  <c r="J49" i="1" s="1"/>
  <c r="I51" i="1"/>
  <c r="J51" i="1" s="1"/>
  <c r="S50" i="1"/>
  <c r="T50" i="1" s="1"/>
  <c r="S59" i="1"/>
  <c r="T59" i="1" s="1"/>
  <c r="S56" i="1"/>
  <c r="T56" i="1" s="1"/>
  <c r="S53" i="1"/>
  <c r="T53" i="1" s="1"/>
  <c r="S49" i="1"/>
  <c r="T49" i="1" s="1"/>
  <c r="S46" i="1"/>
  <c r="T46" i="1" s="1"/>
  <c r="I61" i="1"/>
  <c r="J61" i="1" s="1"/>
  <c r="U44" i="2"/>
  <c r="T44" i="2"/>
  <c r="U43" i="2"/>
  <c r="T43" i="2"/>
  <c r="U42" i="2"/>
  <c r="T42" i="2"/>
  <c r="U41" i="2"/>
  <c r="T41" i="2"/>
  <c r="U40" i="2"/>
  <c r="T40" i="2"/>
  <c r="U39" i="2"/>
  <c r="T39" i="2"/>
  <c r="U38" i="2"/>
  <c r="T38" i="2"/>
  <c r="U33" i="2"/>
  <c r="T33" i="2"/>
  <c r="U32" i="2"/>
  <c r="T32" i="2"/>
  <c r="U31" i="2"/>
  <c r="T31" i="2"/>
  <c r="U30" i="2"/>
  <c r="T30" i="2"/>
  <c r="U29" i="2"/>
  <c r="T29" i="2"/>
  <c r="BE69" i="3"/>
  <c r="BD69" i="3"/>
  <c r="BC69" i="3"/>
  <c r="BB69" i="3"/>
  <c r="AR69" i="3"/>
  <c r="AQ69" i="3"/>
  <c r="AP69" i="3"/>
  <c r="AO69" i="3"/>
  <c r="AE69" i="3"/>
  <c r="AD69" i="3"/>
  <c r="AC69" i="3"/>
  <c r="AB69" i="3"/>
  <c r="R69" i="3"/>
  <c r="Q69" i="3"/>
  <c r="P69" i="3"/>
  <c r="O69" i="3"/>
  <c r="CS83" i="14" l="1"/>
  <c r="CS106" i="13"/>
  <c r="CF103" i="8"/>
  <c r="CK103" i="8"/>
  <c r="CF101" i="8"/>
  <c r="CJ103" i="8"/>
  <c r="CK99" i="8"/>
  <c r="DY114" i="13"/>
  <c r="ED114" i="13" s="1"/>
  <c r="EQ136" i="13" s="1"/>
  <c r="EY136" i="13" s="1"/>
  <c r="FI136" i="13" s="1"/>
  <c r="DZ67" i="12"/>
  <c r="EE67" i="12" s="1"/>
  <c r="ER81" i="12" s="1"/>
  <c r="FB81" i="12" s="1"/>
  <c r="CF97" i="8"/>
  <c r="CK101" i="8"/>
  <c r="CN103" i="8"/>
  <c r="DZ74" i="12"/>
  <c r="EE73" i="12" s="1"/>
  <c r="CS148" i="13"/>
  <c r="CS150" i="13"/>
  <c r="DZ42" i="14"/>
  <c r="EE42" i="14" s="1"/>
  <c r="CS105" i="13"/>
  <c r="CS147" i="13"/>
  <c r="DY62" i="12"/>
  <c r="CS79" i="14"/>
  <c r="CS81" i="14"/>
  <c r="CS39" i="14"/>
  <c r="DY40" i="14"/>
  <c r="ED40" i="14" s="1"/>
  <c r="DY41" i="14"/>
  <c r="ED41" i="14" s="1"/>
  <c r="CS38" i="14"/>
  <c r="DY109" i="13"/>
  <c r="ED109" i="13" s="1"/>
  <c r="EQ125" i="13" s="1"/>
  <c r="EY125" i="13" s="1"/>
  <c r="FI125" i="13" s="1"/>
  <c r="DY103" i="13"/>
  <c r="ED103" i="13" s="1"/>
  <c r="DZ112" i="13"/>
  <c r="EE112" i="13" s="1"/>
  <c r="ER134" i="13" s="1"/>
  <c r="EZ134" i="13" s="1"/>
  <c r="FJ134" i="13" s="1"/>
  <c r="DZ109" i="13"/>
  <c r="EE109" i="13" s="1"/>
  <c r="ER128" i="13" s="1"/>
  <c r="EZ128" i="13" s="1"/>
  <c r="FJ128" i="13" s="1"/>
  <c r="DY107" i="13"/>
  <c r="ED107" i="13" s="1"/>
  <c r="DZ68" i="12"/>
  <c r="DZ71" i="12"/>
  <c r="EE70" i="12" s="1"/>
  <c r="ER74" i="12" s="1"/>
  <c r="FB74" i="12" s="1"/>
  <c r="DZ69" i="12"/>
  <c r="EE68" i="12" s="1"/>
  <c r="ER70" i="12" s="1"/>
  <c r="FB70" i="12" s="1"/>
  <c r="DZ72" i="12"/>
  <c r="EE71" i="12" s="1"/>
  <c r="ER77" i="12" s="1"/>
  <c r="FB77" i="12" s="1"/>
  <c r="CS74" i="12"/>
  <c r="DY74" i="12"/>
  <c r="ED73" i="12" s="1"/>
  <c r="CS66" i="12"/>
  <c r="CS92" i="12"/>
  <c r="DZ63" i="12"/>
  <c r="EE63" i="12" s="1"/>
  <c r="ER65" i="12" s="1"/>
  <c r="FB65" i="12" s="1"/>
  <c r="DZ40" i="14"/>
  <c r="EE40" i="14" s="1"/>
  <c r="DY64" i="12"/>
  <c r="CS88" i="12"/>
  <c r="DZ113" i="13"/>
  <c r="EE113" i="13" s="1"/>
  <c r="ER135" i="13" s="1"/>
  <c r="EZ135" i="13" s="1"/>
  <c r="FJ135" i="13" s="1"/>
  <c r="CX93" i="12"/>
  <c r="DR93" i="12" s="1"/>
  <c r="CF93" i="12"/>
  <c r="CX95" i="12"/>
  <c r="DR95" i="12" s="1"/>
  <c r="CF95" i="12"/>
  <c r="CJ82" i="14"/>
  <c r="CY82" i="14"/>
  <c r="DS82" i="14" s="1"/>
  <c r="CY88" i="12"/>
  <c r="DS88" i="12" s="1"/>
  <c r="CJ88" i="12"/>
  <c r="CX88" i="12"/>
  <c r="DR88" i="12" s="1"/>
  <c r="CF88" i="12"/>
  <c r="CX96" i="12"/>
  <c r="DR96" i="12" s="1"/>
  <c r="CF96" i="12"/>
  <c r="CJ157" i="13"/>
  <c r="CY157" i="13"/>
  <c r="DS157" i="13" s="1"/>
  <c r="CY84" i="14"/>
  <c r="DS84" i="14" s="1"/>
  <c r="CJ84" i="14"/>
  <c r="CZ91" i="12"/>
  <c r="DT91" i="12" s="1"/>
  <c r="CK91" i="12"/>
  <c r="DA91" i="12"/>
  <c r="DU91" i="12" s="1"/>
  <c r="CN91" i="12"/>
  <c r="EQ158" i="13"/>
  <c r="EY158" i="13" s="1"/>
  <c r="EQ115" i="13"/>
  <c r="EY115" i="13" s="1"/>
  <c r="FI115" i="13" s="1"/>
  <c r="EQ110" i="13"/>
  <c r="EY110" i="13" s="1"/>
  <c r="FI110" i="13" s="1"/>
  <c r="EQ112" i="13"/>
  <c r="EY112" i="13" s="1"/>
  <c r="FI112" i="13" s="1"/>
  <c r="EQ114" i="13"/>
  <c r="EY114" i="13" s="1"/>
  <c r="FI114" i="13" s="1"/>
  <c r="EQ113" i="13"/>
  <c r="EY113" i="13" s="1"/>
  <c r="FI113" i="13" s="1"/>
  <c r="EQ111" i="13"/>
  <c r="EY111" i="13" s="1"/>
  <c r="FI111" i="13" s="1"/>
  <c r="CN153" i="13"/>
  <c r="DA153" i="13"/>
  <c r="DU153" i="13" s="1"/>
  <c r="CX148" i="13"/>
  <c r="DR148" i="13" s="1"/>
  <c r="CF148" i="13"/>
  <c r="DY113" i="13"/>
  <c r="ED113" i="13" s="1"/>
  <c r="EQ135" i="13" s="1"/>
  <c r="EY135" i="13" s="1"/>
  <c r="FI135" i="13" s="1"/>
  <c r="DY111" i="13"/>
  <c r="ED111" i="13" s="1"/>
  <c r="EQ132" i="13" s="1"/>
  <c r="EY132" i="13" s="1"/>
  <c r="FI132" i="13" s="1"/>
  <c r="CK149" i="13"/>
  <c r="CZ149" i="13"/>
  <c r="DT149" i="13" s="1"/>
  <c r="CX94" i="12"/>
  <c r="DR94" i="12" s="1"/>
  <c r="CF94" i="12"/>
  <c r="CY94" i="12"/>
  <c r="DS94" i="12" s="1"/>
  <c r="CJ94" i="12"/>
  <c r="DZ36" i="14"/>
  <c r="ER133" i="13"/>
  <c r="EZ133" i="13" s="1"/>
  <c r="FJ133" i="13" s="1"/>
  <c r="CY85" i="14"/>
  <c r="DS85" i="14" s="1"/>
  <c r="CJ85" i="14"/>
  <c r="CJ151" i="13"/>
  <c r="CY151" i="13"/>
  <c r="DS151" i="13" s="1"/>
  <c r="DA89" i="12"/>
  <c r="DU89" i="12" s="1"/>
  <c r="CN89" i="12"/>
  <c r="CX81" i="14"/>
  <c r="DR81" i="14" s="1"/>
  <c r="CF81" i="14"/>
  <c r="CK147" i="13"/>
  <c r="CZ147" i="13"/>
  <c r="DT147" i="13" s="1"/>
  <c r="CY92" i="12"/>
  <c r="DS92" i="12" s="1"/>
  <c r="CJ92" i="12"/>
  <c r="DY65" i="12"/>
  <c r="CZ90" i="12"/>
  <c r="DT90" i="12" s="1"/>
  <c r="CK90" i="12"/>
  <c r="CZ99" i="12"/>
  <c r="DT99" i="12" s="1"/>
  <c r="CK99" i="12"/>
  <c r="CS146" i="13"/>
  <c r="ER125" i="13"/>
  <c r="EZ125" i="13" s="1"/>
  <c r="FJ125" i="13" s="1"/>
  <c r="ER127" i="13"/>
  <c r="EZ127" i="13" s="1"/>
  <c r="FJ127" i="13" s="1"/>
  <c r="CX147" i="13"/>
  <c r="DR147" i="13" s="1"/>
  <c r="CF147" i="13"/>
  <c r="DY66" i="12"/>
  <c r="ED66" i="12" s="1"/>
  <c r="CS37" i="14"/>
  <c r="CX60" i="15"/>
  <c r="DR60" i="15" s="1"/>
  <c r="CF60" i="15"/>
  <c r="DA100" i="12"/>
  <c r="DU100" i="12" s="1"/>
  <c r="CN100" i="12"/>
  <c r="DA83" i="14"/>
  <c r="DU83" i="14" s="1"/>
  <c r="CN83" i="14"/>
  <c r="CZ81" i="14"/>
  <c r="DT81" i="14" s="1"/>
  <c r="CK81" i="14"/>
  <c r="CN158" i="13"/>
  <c r="DA158" i="13"/>
  <c r="DU158" i="13" s="1"/>
  <c r="CZ93" i="12"/>
  <c r="DT93" i="12" s="1"/>
  <c r="CK93" i="12"/>
  <c r="CY93" i="12"/>
  <c r="DS93" i="12" s="1"/>
  <c r="CJ93" i="12"/>
  <c r="DA146" i="13"/>
  <c r="DU146" i="13" s="1"/>
  <c r="CN146" i="13"/>
  <c r="DA96" i="12"/>
  <c r="DU96" i="12" s="1"/>
  <c r="CN96" i="12"/>
  <c r="CX157" i="13"/>
  <c r="DR157" i="13" s="1"/>
  <c r="CF157" i="13"/>
  <c r="CX84" i="14"/>
  <c r="DR84" i="14" s="1"/>
  <c r="CF84" i="14"/>
  <c r="CF152" i="13"/>
  <c r="CX152" i="13"/>
  <c r="DR152" i="13" s="1"/>
  <c r="CX98" i="12"/>
  <c r="DR98" i="12" s="1"/>
  <c r="CF98" i="12"/>
  <c r="CY98" i="12"/>
  <c r="DS98" i="12" s="1"/>
  <c r="CJ98" i="12"/>
  <c r="DY68" i="12"/>
  <c r="CY60" i="15"/>
  <c r="DS60" i="15" s="1"/>
  <c r="CJ60" i="15"/>
  <c r="DA60" i="15"/>
  <c r="DU60" i="15" s="1"/>
  <c r="CN60" i="15"/>
  <c r="CN97" i="12"/>
  <c r="DA97" i="12"/>
  <c r="DU97" i="12" s="1"/>
  <c r="CY100" i="12"/>
  <c r="DS100" i="12" s="1"/>
  <c r="CJ100" i="12"/>
  <c r="CY149" i="13"/>
  <c r="DS149" i="13" s="1"/>
  <c r="CJ149" i="13"/>
  <c r="CY83" i="14"/>
  <c r="DS83" i="14" s="1"/>
  <c r="CJ83" i="14"/>
  <c r="CF155" i="13"/>
  <c r="CX155" i="13"/>
  <c r="DR155" i="13" s="1"/>
  <c r="CZ94" i="12"/>
  <c r="DT94" i="12" s="1"/>
  <c r="CK94" i="12"/>
  <c r="CS104" i="13"/>
  <c r="CZ151" i="13"/>
  <c r="DT151" i="13" s="1"/>
  <c r="CK151" i="13"/>
  <c r="CX89" i="12"/>
  <c r="DR89" i="12" s="1"/>
  <c r="CF89" i="12"/>
  <c r="DA81" i="14"/>
  <c r="DU81" i="14" s="1"/>
  <c r="CN81" i="14"/>
  <c r="CY154" i="13"/>
  <c r="DS154" i="13" s="1"/>
  <c r="CJ154" i="13"/>
  <c r="DA92" i="12"/>
  <c r="DU92" i="12" s="1"/>
  <c r="CN92" i="12"/>
  <c r="CS107" i="13"/>
  <c r="CX150" i="13"/>
  <c r="DR150" i="13" s="1"/>
  <c r="CF150" i="13"/>
  <c r="CX99" i="12"/>
  <c r="DR99" i="12" s="1"/>
  <c r="CF99" i="12"/>
  <c r="DZ104" i="13"/>
  <c r="EE104" i="13" s="1"/>
  <c r="DY112" i="13"/>
  <c r="ED112" i="13" s="1"/>
  <c r="CX146" i="13"/>
  <c r="DR146" i="13" s="1"/>
  <c r="CF146" i="13"/>
  <c r="CZ88" i="12"/>
  <c r="DT88" i="12" s="1"/>
  <c r="CK88" i="12"/>
  <c r="CX153" i="13"/>
  <c r="DR153" i="13" s="1"/>
  <c r="CF153" i="13"/>
  <c r="DA94" i="12"/>
  <c r="DU94" i="12" s="1"/>
  <c r="CN94" i="12"/>
  <c r="CY89" i="12"/>
  <c r="DS89" i="12" s="1"/>
  <c r="CJ89" i="12"/>
  <c r="CY95" i="12"/>
  <c r="DS95" i="12" s="1"/>
  <c r="CJ95" i="12"/>
  <c r="DA95" i="12"/>
  <c r="DU95" i="12" s="1"/>
  <c r="CN95" i="12"/>
  <c r="DA82" i="14"/>
  <c r="DU82" i="14" s="1"/>
  <c r="CN82" i="14"/>
  <c r="CJ146" i="13"/>
  <c r="CY146" i="13"/>
  <c r="DS146" i="13" s="1"/>
  <c r="DY106" i="13"/>
  <c r="ED106" i="13" s="1"/>
  <c r="EQ120" i="13" s="1"/>
  <c r="EY120" i="13" s="1"/>
  <c r="FI120" i="13" s="1"/>
  <c r="CK157" i="13"/>
  <c r="CZ157" i="13"/>
  <c r="DT157" i="13" s="1"/>
  <c r="CK84" i="14"/>
  <c r="CZ84" i="14"/>
  <c r="DT84" i="14" s="1"/>
  <c r="DA98" i="12"/>
  <c r="DU98" i="12" s="1"/>
  <c r="CN98" i="12"/>
  <c r="CS91" i="12"/>
  <c r="J91" i="12"/>
  <c r="DZ65" i="12"/>
  <c r="EE65" i="12" s="1"/>
  <c r="ER67" i="12" s="1"/>
  <c r="FB67" i="12" s="1"/>
  <c r="CS60" i="15"/>
  <c r="J60" i="15"/>
  <c r="CJ80" i="14"/>
  <c r="CY80" i="14"/>
  <c r="DS80" i="14" s="1"/>
  <c r="CS100" i="12"/>
  <c r="J100" i="12"/>
  <c r="DY70" i="12"/>
  <c r="ED69" i="12" s="1"/>
  <c r="DZ111" i="13"/>
  <c r="EE111" i="13" s="1"/>
  <c r="ER132" i="13" s="1"/>
  <c r="EZ132" i="13" s="1"/>
  <c r="FJ132" i="13" s="1"/>
  <c r="CN149" i="13"/>
  <c r="DA149" i="13"/>
  <c r="DU149" i="13" s="1"/>
  <c r="CN155" i="13"/>
  <c r="DA155" i="13"/>
  <c r="DU155" i="13" s="1"/>
  <c r="DZ17" i="15"/>
  <c r="CS36" i="14"/>
  <c r="CF79" i="14"/>
  <c r="CX79" i="14"/>
  <c r="DR79" i="14" s="1"/>
  <c r="CS65" i="12"/>
  <c r="J65" i="12"/>
  <c r="CZ154" i="13"/>
  <c r="DT154" i="13" s="1"/>
  <c r="CK154" i="13"/>
  <c r="CY147" i="13"/>
  <c r="DS147" i="13" s="1"/>
  <c r="CJ147" i="13"/>
  <c r="DY110" i="13"/>
  <c r="ED110" i="13" s="1"/>
  <c r="DY67" i="12"/>
  <c r="ED67" i="12" s="1"/>
  <c r="DY39" i="14"/>
  <c r="ED39" i="14" s="1"/>
  <c r="CX156" i="13"/>
  <c r="DR156" i="13" s="1"/>
  <c r="CF156" i="13"/>
  <c r="CY150" i="13"/>
  <c r="DS150" i="13" s="1"/>
  <c r="CJ150" i="13"/>
  <c r="CZ95" i="12"/>
  <c r="DT95" i="12" s="1"/>
  <c r="CK95" i="12"/>
  <c r="CZ82" i="14"/>
  <c r="DT82" i="14" s="1"/>
  <c r="CK82" i="14"/>
  <c r="DA88" i="12"/>
  <c r="DU88" i="12" s="1"/>
  <c r="CN88" i="12"/>
  <c r="CN157" i="13"/>
  <c r="DA157" i="13"/>
  <c r="DU157" i="13" s="1"/>
  <c r="DA152" i="13"/>
  <c r="DU152" i="13" s="1"/>
  <c r="CN152" i="13"/>
  <c r="CZ98" i="12"/>
  <c r="DT98" i="12" s="1"/>
  <c r="CK98" i="12"/>
  <c r="CX91" i="12"/>
  <c r="DR91" i="12" s="1"/>
  <c r="DY91" i="12" s="1"/>
  <c r="CF91" i="12"/>
  <c r="DZ115" i="13"/>
  <c r="EE115" i="13" s="1"/>
  <c r="DZ114" i="13"/>
  <c r="EE114" i="13" s="1"/>
  <c r="CK153" i="13"/>
  <c r="CZ153" i="13"/>
  <c r="DT153" i="13" s="1"/>
  <c r="CX97" i="12"/>
  <c r="DR97" i="12" s="1"/>
  <c r="CF97" i="12"/>
  <c r="CX100" i="12"/>
  <c r="DR100" i="12" s="1"/>
  <c r="DY100" i="12" s="1"/>
  <c r="ED99" i="12" s="1"/>
  <c r="CF100" i="12"/>
  <c r="DZ38" i="14"/>
  <c r="EE38" i="14" s="1"/>
  <c r="DY63" i="12"/>
  <c r="CY79" i="14"/>
  <c r="DS79" i="14" s="1"/>
  <c r="CJ79" i="14"/>
  <c r="CS62" i="12"/>
  <c r="CX154" i="13"/>
  <c r="DR154" i="13" s="1"/>
  <c r="CF154" i="13"/>
  <c r="DA147" i="13"/>
  <c r="DU147" i="13" s="1"/>
  <c r="CN147" i="13"/>
  <c r="DY69" i="12"/>
  <c r="ED68" i="12" s="1"/>
  <c r="CY99" i="12"/>
  <c r="DS99" i="12" s="1"/>
  <c r="CJ99" i="12"/>
  <c r="DA99" i="12"/>
  <c r="DU99" i="12" s="1"/>
  <c r="CN99" i="12"/>
  <c r="DY37" i="14"/>
  <c r="ED37" i="14" s="1"/>
  <c r="DZ105" i="13"/>
  <c r="EE105" i="13" s="1"/>
  <c r="CF82" i="14"/>
  <c r="CX82" i="14"/>
  <c r="DR82" i="14" s="1"/>
  <c r="CY96" i="12"/>
  <c r="DS96" i="12" s="1"/>
  <c r="CJ96" i="12"/>
  <c r="DZ73" i="12"/>
  <c r="EE72" i="12" s="1"/>
  <c r="CZ152" i="13"/>
  <c r="DT152" i="13" s="1"/>
  <c r="CK152" i="13"/>
  <c r="CZ60" i="15"/>
  <c r="DT60" i="15" s="1"/>
  <c r="CK60" i="15"/>
  <c r="CF80" i="14"/>
  <c r="CX80" i="14"/>
  <c r="DR80" i="14" s="1"/>
  <c r="CS80" i="14"/>
  <c r="J80" i="14"/>
  <c r="CZ100" i="12"/>
  <c r="DT100" i="12" s="1"/>
  <c r="CK100" i="12"/>
  <c r="CF83" i="14"/>
  <c r="CX83" i="14"/>
  <c r="DR83" i="14" s="1"/>
  <c r="CK155" i="13"/>
  <c r="CZ155" i="13"/>
  <c r="DT155" i="13" s="1"/>
  <c r="CS158" i="13"/>
  <c r="CS63" i="12"/>
  <c r="CX85" i="14"/>
  <c r="DR85" i="14" s="1"/>
  <c r="CF85" i="14"/>
  <c r="CK79" i="14"/>
  <c r="CZ79" i="14"/>
  <c r="DT79" i="14" s="1"/>
  <c r="CN79" i="14"/>
  <c r="DA79" i="14"/>
  <c r="DU79" i="14" s="1"/>
  <c r="CN151" i="13"/>
  <c r="DA151" i="13"/>
  <c r="DU151" i="13" s="1"/>
  <c r="CZ89" i="12"/>
  <c r="DT89" i="12" s="1"/>
  <c r="CK89" i="12"/>
  <c r="DY42" i="14"/>
  <c r="ED42" i="14" s="1"/>
  <c r="CY81" i="14"/>
  <c r="DS81" i="14" s="1"/>
  <c r="CJ81" i="14"/>
  <c r="DY72" i="12"/>
  <c r="ED71" i="12" s="1"/>
  <c r="EQ77" i="12" s="1"/>
  <c r="FA77" i="12" s="1"/>
  <c r="CS40" i="14"/>
  <c r="J40" i="14"/>
  <c r="CK156" i="13"/>
  <c r="CZ156" i="13"/>
  <c r="DT156" i="13" s="1"/>
  <c r="CN156" i="13"/>
  <c r="DA156" i="13"/>
  <c r="DU156" i="13" s="1"/>
  <c r="CX158" i="13"/>
  <c r="DR158" i="13" s="1"/>
  <c r="CF158" i="13"/>
  <c r="CZ96" i="12"/>
  <c r="DT96" i="12" s="1"/>
  <c r="CK96" i="12"/>
  <c r="CN80" i="14"/>
  <c r="DA80" i="14"/>
  <c r="DU80" i="14" s="1"/>
  <c r="CY97" i="12"/>
  <c r="DS97" i="12" s="1"/>
  <c r="CJ97" i="12"/>
  <c r="CY158" i="13"/>
  <c r="DS158" i="13" s="1"/>
  <c r="CJ158" i="13"/>
  <c r="EQ106" i="13"/>
  <c r="EY106" i="13" s="1"/>
  <c r="FI106" i="13" s="1"/>
  <c r="EQ108" i="13"/>
  <c r="EY108" i="13" s="1"/>
  <c r="FI108" i="13" s="1"/>
  <c r="EQ105" i="13"/>
  <c r="EY105" i="13" s="1"/>
  <c r="FI105" i="13" s="1"/>
  <c r="EQ103" i="13"/>
  <c r="EQ107" i="13"/>
  <c r="EY107" i="13" s="1"/>
  <c r="FI107" i="13" s="1"/>
  <c r="EQ104" i="13"/>
  <c r="EY104" i="13" s="1"/>
  <c r="FI104" i="13" s="1"/>
  <c r="EQ109" i="13"/>
  <c r="EY109" i="13" s="1"/>
  <c r="FI109" i="13" s="1"/>
  <c r="DZ106" i="13"/>
  <c r="EE106" i="13" s="1"/>
  <c r="ER120" i="13" s="1"/>
  <c r="EZ120" i="13" s="1"/>
  <c r="FJ120" i="13" s="1"/>
  <c r="CZ146" i="13"/>
  <c r="DT146" i="13" s="1"/>
  <c r="CK146" i="13"/>
  <c r="CY91" i="12"/>
  <c r="DS91" i="12" s="1"/>
  <c r="CJ91" i="12"/>
  <c r="CK80" i="14"/>
  <c r="CZ80" i="14"/>
  <c r="DT80" i="14" s="1"/>
  <c r="CK148" i="13"/>
  <c r="CZ148" i="13"/>
  <c r="DT148" i="13" s="1"/>
  <c r="CY148" i="13"/>
  <c r="DS148" i="13" s="1"/>
  <c r="CJ148" i="13"/>
  <c r="CZ97" i="12"/>
  <c r="DT97" i="12" s="1"/>
  <c r="CK97" i="12"/>
  <c r="DY36" i="14"/>
  <c r="CF149" i="13"/>
  <c r="CX149" i="13"/>
  <c r="DR149" i="13" s="1"/>
  <c r="CK83" i="14"/>
  <c r="CZ83" i="14"/>
  <c r="DT83" i="14" s="1"/>
  <c r="CY155" i="13"/>
  <c r="DS155" i="13" s="1"/>
  <c r="CJ155" i="13"/>
  <c r="DY105" i="13"/>
  <c r="ED105" i="13" s="1"/>
  <c r="DZ39" i="14"/>
  <c r="EE39" i="14" s="1"/>
  <c r="CZ85" i="14"/>
  <c r="DT85" i="14" s="1"/>
  <c r="CK85" i="14"/>
  <c r="DZ62" i="12"/>
  <c r="CK92" i="12"/>
  <c r="CZ92" i="12"/>
  <c r="DT92" i="12" s="1"/>
  <c r="CX92" i="12"/>
  <c r="DR92" i="12" s="1"/>
  <c r="CF92" i="12"/>
  <c r="DZ108" i="13"/>
  <c r="EE108" i="13" s="1"/>
  <c r="DZ70" i="12"/>
  <c r="EE69" i="12" s="1"/>
  <c r="CX90" i="12"/>
  <c r="DR90" i="12" s="1"/>
  <c r="CF90" i="12"/>
  <c r="CY90" i="12"/>
  <c r="DS90" i="12" s="1"/>
  <c r="DZ90" i="12" s="1"/>
  <c r="CJ90" i="12"/>
  <c r="DY115" i="13"/>
  <c r="ED115" i="13" s="1"/>
  <c r="DZ110" i="13"/>
  <c r="EE110" i="13" s="1"/>
  <c r="CS115" i="13"/>
  <c r="DZ103" i="13"/>
  <c r="EE103" i="13" s="1"/>
  <c r="EQ137" i="13"/>
  <c r="CJ153" i="13"/>
  <c r="CY153" i="13"/>
  <c r="DS153" i="13" s="1"/>
  <c r="CZ158" i="13"/>
  <c r="DT158" i="13" s="1"/>
  <c r="CK158" i="13"/>
  <c r="CN93" i="12"/>
  <c r="DA93" i="12"/>
  <c r="DU93" i="12" s="1"/>
  <c r="CS64" i="12"/>
  <c r="J64" i="12"/>
  <c r="DZ37" i="14"/>
  <c r="EE37" i="14" s="1"/>
  <c r="DA84" i="14"/>
  <c r="DU84" i="14" s="1"/>
  <c r="CN84" i="14"/>
  <c r="CY152" i="13"/>
  <c r="DS152" i="13" s="1"/>
  <c r="CJ152" i="13"/>
  <c r="DY71" i="12"/>
  <c r="ED70" i="12" s="1"/>
  <c r="DY108" i="13"/>
  <c r="ED108" i="13" s="1"/>
  <c r="CN148" i="13"/>
  <c r="DA148" i="13"/>
  <c r="DU148" i="13" s="1"/>
  <c r="CS17" i="15"/>
  <c r="J17" i="15"/>
  <c r="DY73" i="12"/>
  <c r="ED72" i="12" s="1"/>
  <c r="CS82" i="14"/>
  <c r="CN85" i="14"/>
  <c r="DA85" i="14"/>
  <c r="DU85" i="14" s="1"/>
  <c r="CF151" i="13"/>
  <c r="CX151" i="13"/>
  <c r="DR151" i="13" s="1"/>
  <c r="DY151" i="13" s="1"/>
  <c r="ED151" i="13" s="1"/>
  <c r="CN154" i="13"/>
  <c r="DA154" i="13"/>
  <c r="DU154" i="13" s="1"/>
  <c r="DY17" i="15"/>
  <c r="DZ66" i="12"/>
  <c r="EE66" i="12" s="1"/>
  <c r="DY38" i="14"/>
  <c r="ED38" i="14" s="1"/>
  <c r="CY156" i="13"/>
  <c r="DS156" i="13" s="1"/>
  <c r="CJ156" i="13"/>
  <c r="CN150" i="13"/>
  <c r="DA150" i="13"/>
  <c r="DU150" i="13" s="1"/>
  <c r="CK150" i="13"/>
  <c r="CZ150" i="13"/>
  <c r="DT150" i="13" s="1"/>
  <c r="DA90" i="12"/>
  <c r="DU90" i="12" s="1"/>
  <c r="CN90" i="12"/>
  <c r="DZ64" i="12"/>
  <c r="DZ97" i="8"/>
  <c r="DZ50" i="8"/>
  <c r="DY54" i="8"/>
  <c r="DY103" i="8"/>
  <c r="DY99" i="8"/>
  <c r="DZ98" i="8"/>
  <c r="DY98" i="8"/>
  <c r="DY95" i="8"/>
  <c r="ER94" i="8" s="1"/>
  <c r="DY100" i="8"/>
  <c r="DZ96" i="8"/>
  <c r="DZ95" i="8"/>
  <c r="ES94" i="8" s="1"/>
  <c r="DY101" i="8"/>
  <c r="DY102" i="8"/>
  <c r="DY104" i="8"/>
  <c r="DY51" i="8"/>
  <c r="DZ103" i="8"/>
  <c r="DZ99" i="8"/>
  <c r="DZ102" i="8"/>
  <c r="DZ101" i="8"/>
  <c r="DZ100" i="8"/>
  <c r="DY97" i="8"/>
  <c r="DY96" i="8"/>
  <c r="DZ51" i="8"/>
  <c r="DZ104" i="8"/>
  <c r="DY46" i="8"/>
  <c r="DY53" i="8"/>
  <c r="DZ45" i="8"/>
  <c r="ES45" i="8" s="1"/>
  <c r="DZ54" i="8"/>
  <c r="DY50" i="8"/>
  <c r="DZ47" i="8"/>
  <c r="DY48" i="8"/>
  <c r="DZ49" i="8"/>
  <c r="DZ48" i="8"/>
  <c r="DZ52" i="8"/>
  <c r="DY52" i="8"/>
  <c r="DY49" i="8"/>
  <c r="DZ46" i="8"/>
  <c r="DY45" i="8"/>
  <c r="DZ53" i="8"/>
  <c r="DY47" i="8"/>
  <c r="CS104" i="8"/>
  <c r="J50" i="8"/>
  <c r="J106" i="8"/>
  <c r="CS54" i="8"/>
  <c r="J54" i="8"/>
  <c r="CS99" i="8"/>
  <c r="J99" i="8"/>
  <c r="CS105" i="8"/>
  <c r="J105" i="8"/>
  <c r="CS45" i="8"/>
  <c r="J45" i="8"/>
  <c r="CS47" i="8"/>
  <c r="J47" i="8"/>
  <c r="CS95" i="8"/>
  <c r="J95" i="8"/>
  <c r="CS49" i="8"/>
  <c r="J49" i="8"/>
  <c r="CS100" i="8"/>
  <c r="J100" i="8"/>
  <c r="CS48" i="8"/>
  <c r="J48" i="8"/>
  <c r="CS52" i="8"/>
  <c r="J52" i="8"/>
  <c r="CS98" i="8"/>
  <c r="J98" i="8"/>
  <c r="CS56" i="8"/>
  <c r="J56" i="8"/>
  <c r="CS103" i="8"/>
  <c r="J103" i="8"/>
  <c r="CS51" i="8"/>
  <c r="J51" i="8"/>
  <c r="CS55" i="8"/>
  <c r="J55" i="8"/>
  <c r="CS101" i="8"/>
  <c r="J101" i="8"/>
  <c r="CS46" i="8"/>
  <c r="J46" i="8"/>
  <c r="CS96" i="8"/>
  <c r="J96" i="8"/>
  <c r="CS97" i="8"/>
  <c r="J97" i="8"/>
  <c r="CS53" i="8"/>
  <c r="J53" i="8"/>
  <c r="CS102" i="8"/>
  <c r="J102" i="8"/>
  <c r="C69" i="3"/>
  <c r="D69" i="3"/>
  <c r="E69" i="3"/>
  <c r="B69" i="3"/>
  <c r="DZ96" i="12" l="1"/>
  <c r="EE95" i="12" s="1"/>
  <c r="ER98" i="12" s="1"/>
  <c r="FB98" i="12" s="1"/>
  <c r="EQ128" i="13"/>
  <c r="EY128" i="13" s="1"/>
  <c r="FI128" i="13" s="1"/>
  <c r="DY83" i="14"/>
  <c r="ED83" i="14" s="1"/>
  <c r="DY82" i="14"/>
  <c r="ED82" i="14" s="1"/>
  <c r="DY158" i="13"/>
  <c r="ED158" i="13" s="1"/>
  <c r="DZ149" i="13"/>
  <c r="EE149" i="13" s="1"/>
  <c r="EE64" i="12"/>
  <c r="ER66" i="12" s="1"/>
  <c r="FB66" i="12" s="1"/>
  <c r="EE62" i="12"/>
  <c r="ER80" i="12"/>
  <c r="FB80" i="12" s="1"/>
  <c r="ER76" i="12"/>
  <c r="FB76" i="12" s="1"/>
  <c r="ER75" i="12"/>
  <c r="FB75" i="12" s="1"/>
  <c r="DZ153" i="13"/>
  <c r="EE153" i="13" s="1"/>
  <c r="ER173" i="13" s="1"/>
  <c r="EZ173" i="13" s="1"/>
  <c r="DZ152" i="13"/>
  <c r="EE152" i="13" s="1"/>
  <c r="ER172" i="13" s="1"/>
  <c r="EZ172" i="13" s="1"/>
  <c r="DZ91" i="12"/>
  <c r="DZ81" i="14"/>
  <c r="EE81" i="14" s="1"/>
  <c r="ER126" i="13"/>
  <c r="EZ126" i="13" s="1"/>
  <c r="FJ126" i="13" s="1"/>
  <c r="DZ99" i="12"/>
  <c r="EE98" i="12" s="1"/>
  <c r="ER104" i="12" s="1"/>
  <c r="FB104" i="12" s="1"/>
  <c r="ER129" i="13"/>
  <c r="EZ129" i="13" s="1"/>
  <c r="FJ129" i="13" s="1"/>
  <c r="EQ127" i="13"/>
  <c r="EY127" i="13" s="1"/>
  <c r="FI127" i="13" s="1"/>
  <c r="EQ126" i="13"/>
  <c r="EY126" i="13" s="1"/>
  <c r="FI126" i="13" s="1"/>
  <c r="ER68" i="12"/>
  <c r="FB68" i="12" s="1"/>
  <c r="EQ129" i="13"/>
  <c r="EY129" i="13" s="1"/>
  <c r="FI129" i="13" s="1"/>
  <c r="ER69" i="12"/>
  <c r="FB69" i="12" s="1"/>
  <c r="DZ147" i="13"/>
  <c r="EE147" i="13" s="1"/>
  <c r="ER153" i="13" s="1"/>
  <c r="EZ153" i="13" s="1"/>
  <c r="FJ153" i="13" s="1"/>
  <c r="DY153" i="13"/>
  <c r="ED153" i="13" s="1"/>
  <c r="EQ173" i="13" s="1"/>
  <c r="EY173" i="13" s="1"/>
  <c r="DZ156" i="13"/>
  <c r="EE156" i="13" s="1"/>
  <c r="ER178" i="13" s="1"/>
  <c r="EZ178" i="13" s="1"/>
  <c r="DY149" i="13"/>
  <c r="ED149" i="13" s="1"/>
  <c r="DY146" i="13"/>
  <c r="ED146" i="13" s="1"/>
  <c r="EQ151" i="13" s="1"/>
  <c r="EY151" i="13" s="1"/>
  <c r="FI151" i="13" s="1"/>
  <c r="ED116" i="13"/>
  <c r="ED63" i="12"/>
  <c r="EQ65" i="12" s="1"/>
  <c r="FA65" i="12" s="1"/>
  <c r="ED64" i="12"/>
  <c r="EQ66" i="12" s="1"/>
  <c r="FA66" i="12" s="1"/>
  <c r="DY97" i="12"/>
  <c r="ED96" i="12" s="1"/>
  <c r="EQ100" i="12" s="1"/>
  <c r="FA100" i="12" s="1"/>
  <c r="DY92" i="12"/>
  <c r="ED92" i="12" s="1"/>
  <c r="EQ88" i="12" s="1"/>
  <c r="DY89" i="12"/>
  <c r="DZ95" i="12"/>
  <c r="EE94" i="12" s="1"/>
  <c r="ER95" i="12" s="1"/>
  <c r="FB95" i="12" s="1"/>
  <c r="DY90" i="12"/>
  <c r="DZ80" i="14"/>
  <c r="EE80" i="14" s="1"/>
  <c r="DZ155" i="13"/>
  <c r="EE155" i="13" s="1"/>
  <c r="ED62" i="12"/>
  <c r="EQ64" i="12" s="1"/>
  <c r="FA64" i="12" s="1"/>
  <c r="ER64" i="12"/>
  <c r="FB64" i="12" s="1"/>
  <c r="DY85" i="14"/>
  <c r="ED85" i="14" s="1"/>
  <c r="DY154" i="13"/>
  <c r="ED154" i="13" s="1"/>
  <c r="EQ175" i="13" s="1"/>
  <c r="EY175" i="13" s="1"/>
  <c r="EQ81" i="12"/>
  <c r="FA81" i="12" s="1"/>
  <c r="EQ80" i="12"/>
  <c r="FA80" i="12" s="1"/>
  <c r="DY79" i="14"/>
  <c r="DY99" i="12"/>
  <c r="ED98" i="12" s="1"/>
  <c r="DZ151" i="13"/>
  <c r="EE151" i="13" s="1"/>
  <c r="DZ94" i="12"/>
  <c r="EE90" i="12" s="1"/>
  <c r="ER92" i="12" s="1"/>
  <c r="FB92" i="12" s="1"/>
  <c r="DY148" i="13"/>
  <c r="ED148" i="13" s="1"/>
  <c r="DZ84" i="14"/>
  <c r="EE84" i="14" s="1"/>
  <c r="DZ88" i="12"/>
  <c r="EQ76" i="12"/>
  <c r="FA76" i="12" s="1"/>
  <c r="EQ75" i="12"/>
  <c r="FA75" i="12" s="1"/>
  <c r="EQ74" i="12"/>
  <c r="FA74" i="12" s="1"/>
  <c r="ER78" i="12"/>
  <c r="FB78" i="12" s="1"/>
  <c r="ER79" i="12"/>
  <c r="FB79" i="12" s="1"/>
  <c r="EQ131" i="13"/>
  <c r="EY131" i="13" s="1"/>
  <c r="FI131" i="13" s="1"/>
  <c r="EQ130" i="13"/>
  <c r="EY130" i="13" s="1"/>
  <c r="FI130" i="13" s="1"/>
  <c r="EQ73" i="12"/>
  <c r="FA73" i="12" s="1"/>
  <c r="EQ72" i="12"/>
  <c r="FA72" i="12" s="1"/>
  <c r="EQ71" i="12"/>
  <c r="FA71" i="12" s="1"/>
  <c r="DY155" i="13"/>
  <c r="ED155" i="13" s="1"/>
  <c r="DZ60" i="15"/>
  <c r="DZ92" i="12"/>
  <c r="EE92" i="12" s="1"/>
  <c r="DZ157" i="13"/>
  <c r="EE157" i="13" s="1"/>
  <c r="DZ82" i="14"/>
  <c r="EE82" i="14" s="1"/>
  <c r="EY103" i="13"/>
  <c r="EQ124" i="13"/>
  <c r="EY124" i="13" s="1"/>
  <c r="FI124" i="13" s="1"/>
  <c r="EQ121" i="13"/>
  <c r="EY121" i="13" s="1"/>
  <c r="FI121" i="13" s="1"/>
  <c r="EQ123" i="13"/>
  <c r="EY123" i="13" s="1"/>
  <c r="FI123" i="13" s="1"/>
  <c r="EQ122" i="13"/>
  <c r="EY122" i="13" s="1"/>
  <c r="FI122" i="13" s="1"/>
  <c r="ER106" i="13"/>
  <c r="EZ106" i="13" s="1"/>
  <c r="FJ106" i="13" s="1"/>
  <c r="ER105" i="13"/>
  <c r="EZ105" i="13" s="1"/>
  <c r="FJ105" i="13" s="1"/>
  <c r="ER103" i="13"/>
  <c r="ER108" i="13"/>
  <c r="EZ108" i="13" s="1"/>
  <c r="FJ108" i="13" s="1"/>
  <c r="ER104" i="13"/>
  <c r="EZ104" i="13" s="1"/>
  <c r="FJ104" i="13" s="1"/>
  <c r="ER107" i="13"/>
  <c r="EZ107" i="13" s="1"/>
  <c r="FJ107" i="13" s="1"/>
  <c r="ER109" i="13"/>
  <c r="EZ109" i="13" s="1"/>
  <c r="FJ109" i="13" s="1"/>
  <c r="ER72" i="12"/>
  <c r="FB72" i="12" s="1"/>
  <c r="ER71" i="12"/>
  <c r="FB71" i="12" s="1"/>
  <c r="ER73" i="12"/>
  <c r="FB73" i="12" s="1"/>
  <c r="ER62" i="12"/>
  <c r="ER63" i="12"/>
  <c r="FB63" i="12" s="1"/>
  <c r="ER121" i="13"/>
  <c r="EZ121" i="13" s="1"/>
  <c r="FJ121" i="13" s="1"/>
  <c r="ER123" i="13"/>
  <c r="EZ123" i="13" s="1"/>
  <c r="FJ123" i="13" s="1"/>
  <c r="ER124" i="13"/>
  <c r="EZ124" i="13" s="1"/>
  <c r="FJ124" i="13" s="1"/>
  <c r="ER122" i="13"/>
  <c r="EZ122" i="13" s="1"/>
  <c r="FJ122" i="13" s="1"/>
  <c r="DZ146" i="13"/>
  <c r="EE146" i="13" s="1"/>
  <c r="DY150" i="13"/>
  <c r="ED150" i="13" s="1"/>
  <c r="DY84" i="14"/>
  <c r="ED84" i="14" s="1"/>
  <c r="DZ93" i="12"/>
  <c r="EE93" i="12" s="1"/>
  <c r="EQ62" i="12"/>
  <c r="EQ63" i="12"/>
  <c r="FA63" i="12" s="1"/>
  <c r="DY94" i="12"/>
  <c r="EQ118" i="13"/>
  <c r="EY118" i="13" s="1"/>
  <c r="FI118" i="13" s="1"/>
  <c r="EQ117" i="13"/>
  <c r="EY117" i="13" s="1"/>
  <c r="FI117" i="13" s="1"/>
  <c r="EQ116" i="13"/>
  <c r="EY116" i="13" s="1"/>
  <c r="FI116" i="13" s="1"/>
  <c r="EQ119" i="13"/>
  <c r="EY119" i="13" s="1"/>
  <c r="FI119" i="13" s="1"/>
  <c r="DY24" i="15"/>
  <c r="ED24" i="15" s="1"/>
  <c r="EQ17" i="15" s="1"/>
  <c r="ED17" i="15"/>
  <c r="EQ79" i="12"/>
  <c r="FA79" i="12" s="1"/>
  <c r="EQ78" i="12"/>
  <c r="FA78" i="12" s="1"/>
  <c r="ER171" i="13"/>
  <c r="EZ171" i="13" s="1"/>
  <c r="ER169" i="13"/>
  <c r="EZ169" i="13" s="1"/>
  <c r="ER131" i="13"/>
  <c r="EZ131" i="13" s="1"/>
  <c r="FJ131" i="13" s="1"/>
  <c r="ER130" i="13"/>
  <c r="EZ130" i="13" s="1"/>
  <c r="FJ130" i="13" s="1"/>
  <c r="ED36" i="14"/>
  <c r="DY43" i="14"/>
  <c r="ED43" i="14" s="1"/>
  <c r="EQ36" i="14" s="1"/>
  <c r="DY80" i="14"/>
  <c r="ED80" i="14" s="1"/>
  <c r="DZ79" i="14"/>
  <c r="EE17" i="15"/>
  <c r="DZ24" i="15"/>
  <c r="EE24" i="15" s="1"/>
  <c r="ER17" i="15" s="1"/>
  <c r="DZ100" i="12"/>
  <c r="EE99" i="12" s="1"/>
  <c r="DZ85" i="14"/>
  <c r="EE85" i="14" s="1"/>
  <c r="EQ68" i="12"/>
  <c r="FA68" i="12" s="1"/>
  <c r="EQ70" i="12"/>
  <c r="FA70" i="12" s="1"/>
  <c r="EQ69" i="12"/>
  <c r="FA69" i="12" s="1"/>
  <c r="ER137" i="13"/>
  <c r="ER136" i="13"/>
  <c r="EZ136" i="13" s="1"/>
  <c r="FJ136" i="13" s="1"/>
  <c r="DZ150" i="13"/>
  <c r="EE150" i="13" s="1"/>
  <c r="ER163" i="13" s="1"/>
  <c r="EZ163" i="13" s="1"/>
  <c r="DZ89" i="12"/>
  <c r="DZ83" i="14"/>
  <c r="EE83" i="14" s="1"/>
  <c r="DZ98" i="12"/>
  <c r="EE97" i="12" s="1"/>
  <c r="ER103" i="12" s="1"/>
  <c r="FB103" i="12" s="1"/>
  <c r="DY157" i="13"/>
  <c r="ED157" i="13" s="1"/>
  <c r="DY147" i="13"/>
  <c r="ED147" i="13" s="1"/>
  <c r="DY96" i="12"/>
  <c r="ED95" i="12" s="1"/>
  <c r="DY95" i="12"/>
  <c r="ED94" i="12" s="1"/>
  <c r="ER174" i="13"/>
  <c r="EZ174" i="13" s="1"/>
  <c r="EE116" i="13"/>
  <c r="EQ134" i="13"/>
  <c r="EY134" i="13" s="1"/>
  <c r="FI134" i="13" s="1"/>
  <c r="EQ133" i="13"/>
  <c r="EY133" i="13" s="1"/>
  <c r="FI133" i="13" s="1"/>
  <c r="DY81" i="14"/>
  <c r="ED81" i="14" s="1"/>
  <c r="DZ158" i="13"/>
  <c r="EE158" i="13" s="1"/>
  <c r="EQ164" i="13"/>
  <c r="EY164" i="13" s="1"/>
  <c r="EQ165" i="13"/>
  <c r="EY165" i="13" s="1"/>
  <c r="EQ167" i="13"/>
  <c r="EY167" i="13" s="1"/>
  <c r="EQ166" i="13"/>
  <c r="EY166" i="13" s="1"/>
  <c r="ER177" i="13"/>
  <c r="EZ177" i="13" s="1"/>
  <c r="ER176" i="13"/>
  <c r="EZ176" i="13" s="1"/>
  <c r="DZ97" i="12"/>
  <c r="EE96" i="12" s="1"/>
  <c r="ER116" i="13"/>
  <c r="EZ116" i="13" s="1"/>
  <c r="FJ116" i="13" s="1"/>
  <c r="ER117" i="13"/>
  <c r="EZ117" i="13" s="1"/>
  <c r="FJ117" i="13" s="1"/>
  <c r="ER119" i="13"/>
  <c r="EZ119" i="13" s="1"/>
  <c r="FJ119" i="13" s="1"/>
  <c r="ER118" i="13"/>
  <c r="EZ118" i="13" s="1"/>
  <c r="FJ118" i="13" s="1"/>
  <c r="DY156" i="13"/>
  <c r="ED156" i="13" s="1"/>
  <c r="EQ178" i="13" s="1"/>
  <c r="EY178" i="13" s="1"/>
  <c r="ER110" i="13"/>
  <c r="EZ110" i="13" s="1"/>
  <c r="FJ110" i="13" s="1"/>
  <c r="ER113" i="13"/>
  <c r="EZ113" i="13" s="1"/>
  <c r="FJ113" i="13" s="1"/>
  <c r="ER112" i="13"/>
  <c r="EZ112" i="13" s="1"/>
  <c r="FJ112" i="13" s="1"/>
  <c r="ER114" i="13"/>
  <c r="EZ114" i="13" s="1"/>
  <c r="FJ114" i="13" s="1"/>
  <c r="ER111" i="13"/>
  <c r="EZ111" i="13" s="1"/>
  <c r="FJ111" i="13" s="1"/>
  <c r="ER115" i="13"/>
  <c r="EZ115" i="13" s="1"/>
  <c r="FJ115" i="13" s="1"/>
  <c r="ER158" i="13"/>
  <c r="EZ158" i="13" s="1"/>
  <c r="DY98" i="12"/>
  <c r="ED97" i="12" s="1"/>
  <c r="EQ103" i="12" s="1"/>
  <c r="FA103" i="12" s="1"/>
  <c r="EE36" i="14"/>
  <c r="DZ43" i="14"/>
  <c r="EE43" i="14" s="1"/>
  <c r="ER36" i="14" s="1"/>
  <c r="DY88" i="12"/>
  <c r="DY93" i="12"/>
  <c r="ED93" i="12" s="1"/>
  <c r="DZ148" i="13"/>
  <c r="EE148" i="13" s="1"/>
  <c r="DZ154" i="13"/>
  <c r="EE154" i="13" s="1"/>
  <c r="ER175" i="13" s="1"/>
  <c r="EZ175" i="13" s="1"/>
  <c r="DY152" i="13"/>
  <c r="ED152" i="13" s="1"/>
  <c r="DY60" i="15"/>
  <c r="ED65" i="12"/>
  <c r="EQ67" i="12" s="1"/>
  <c r="FA67" i="12" s="1"/>
  <c r="ER45" i="8"/>
  <c r="ES132" i="8"/>
  <c r="ES138" i="8"/>
  <c r="ES137" i="8"/>
  <c r="ES136" i="8"/>
  <c r="ES135" i="8"/>
  <c r="ES134" i="8"/>
  <c r="ES133" i="8"/>
  <c r="ES49" i="8"/>
  <c r="ES48" i="8"/>
  <c r="ER96" i="8"/>
  <c r="ES116" i="8"/>
  <c r="ES108" i="8"/>
  <c r="ES100" i="8"/>
  <c r="ES109" i="8"/>
  <c r="ES115" i="8"/>
  <c r="ES107" i="8"/>
  <c r="ES99" i="8"/>
  <c r="ES114" i="8"/>
  <c r="ES106" i="8"/>
  <c r="ES101" i="8"/>
  <c r="ES113" i="8"/>
  <c r="ES105" i="8"/>
  <c r="ES117" i="8"/>
  <c r="ES112" i="8"/>
  <c r="ES104" i="8"/>
  <c r="ES111" i="8"/>
  <c r="ES103" i="8"/>
  <c r="ES110" i="8"/>
  <c r="ES102" i="8"/>
  <c r="ER49" i="8"/>
  <c r="ER48" i="8"/>
  <c r="ER80" i="8"/>
  <c r="ER79" i="8"/>
  <c r="ER78" i="8"/>
  <c r="ES46" i="8"/>
  <c r="ES47" i="8"/>
  <c r="ER75" i="8"/>
  <c r="ER74" i="8"/>
  <c r="ER73" i="8"/>
  <c r="ER72" i="8"/>
  <c r="ER77" i="8"/>
  <c r="ER76" i="8"/>
  <c r="ER98" i="8"/>
  <c r="ER97" i="8"/>
  <c r="ER131" i="8"/>
  <c r="ER130" i="8"/>
  <c r="ER120" i="8"/>
  <c r="ER119" i="8"/>
  <c r="ER118" i="8"/>
  <c r="ES78" i="8"/>
  <c r="ES79" i="8"/>
  <c r="ES80" i="8"/>
  <c r="ER71" i="8"/>
  <c r="ER70" i="8"/>
  <c r="ER69" i="8"/>
  <c r="ES124" i="8"/>
  <c r="ES123" i="8"/>
  <c r="ES122" i="8"/>
  <c r="ES121" i="8"/>
  <c r="ES125" i="8"/>
  <c r="ES126" i="8"/>
  <c r="ER129" i="8"/>
  <c r="ER128" i="8"/>
  <c r="ER127" i="8"/>
  <c r="ER138" i="8"/>
  <c r="ER132" i="8"/>
  <c r="ER137" i="8"/>
  <c r="ER136" i="8"/>
  <c r="ER135" i="8"/>
  <c r="ER134" i="8"/>
  <c r="ER133" i="8"/>
  <c r="ES70" i="8"/>
  <c r="ES69" i="8"/>
  <c r="ES71" i="8"/>
  <c r="ES86" i="8"/>
  <c r="ES85" i="8"/>
  <c r="ES84" i="8"/>
  <c r="ES83" i="8"/>
  <c r="ES89" i="8"/>
  <c r="ES88" i="8"/>
  <c r="ES87" i="8"/>
  <c r="ES82" i="8"/>
  <c r="ES81" i="8"/>
  <c r="ER83" i="8"/>
  <c r="ER89" i="8"/>
  <c r="ER84" i="8"/>
  <c r="ER88" i="8"/>
  <c r="ER87" i="8"/>
  <c r="ER86" i="8"/>
  <c r="ER85" i="8"/>
  <c r="ES131" i="8"/>
  <c r="ES130" i="8"/>
  <c r="ES96" i="8"/>
  <c r="ES77" i="8"/>
  <c r="ES76" i="8"/>
  <c r="ES75" i="8"/>
  <c r="ES74" i="8"/>
  <c r="ES73" i="8"/>
  <c r="ES72" i="8"/>
  <c r="ER67" i="8"/>
  <c r="ER59" i="8"/>
  <c r="ER51" i="8"/>
  <c r="ER66" i="8"/>
  <c r="ER58" i="8"/>
  <c r="ER50" i="8"/>
  <c r="ER65" i="8"/>
  <c r="ER57" i="8"/>
  <c r="ER64" i="8"/>
  <c r="ER56" i="8"/>
  <c r="ER60" i="8"/>
  <c r="ER63" i="8"/>
  <c r="ER55" i="8"/>
  <c r="ER68" i="8"/>
  <c r="ER62" i="8"/>
  <c r="ER54" i="8"/>
  <c r="ER52" i="8"/>
  <c r="ER61" i="8"/>
  <c r="ER53" i="8"/>
  <c r="ER115" i="8"/>
  <c r="ER107" i="8"/>
  <c r="ER99" i="8"/>
  <c r="ER114" i="8"/>
  <c r="ER106" i="8"/>
  <c r="ER113" i="8"/>
  <c r="ER105" i="8"/>
  <c r="ER100" i="8"/>
  <c r="ER112" i="8"/>
  <c r="ER104" i="8"/>
  <c r="ER108" i="8"/>
  <c r="ER111" i="8"/>
  <c r="ER103" i="8"/>
  <c r="ER110" i="8"/>
  <c r="ER102" i="8"/>
  <c r="ER116" i="8"/>
  <c r="ER117" i="8"/>
  <c r="ER109" i="8"/>
  <c r="ER101" i="8"/>
  <c r="ER82" i="8"/>
  <c r="ER81" i="8"/>
  <c r="ES129" i="8"/>
  <c r="ES128" i="8"/>
  <c r="ES127" i="8"/>
  <c r="ES62" i="8"/>
  <c r="ES54" i="8"/>
  <c r="ES61" i="8"/>
  <c r="ES53" i="8"/>
  <c r="ES68" i="8"/>
  <c r="ES60" i="8"/>
  <c r="ES52" i="8"/>
  <c r="ES67" i="8"/>
  <c r="ES59" i="8"/>
  <c r="ES51" i="8"/>
  <c r="ES66" i="8"/>
  <c r="ES58" i="8"/>
  <c r="ES63" i="8"/>
  <c r="ES65" i="8"/>
  <c r="ES57" i="8"/>
  <c r="ES55" i="8"/>
  <c r="ES64" i="8"/>
  <c r="ES56" i="8"/>
  <c r="ER47" i="8"/>
  <c r="ER46" i="8"/>
  <c r="ES120" i="8"/>
  <c r="ES119" i="8"/>
  <c r="ES118" i="8"/>
  <c r="ER123" i="8"/>
  <c r="ER122" i="8"/>
  <c r="ER121" i="8"/>
  <c r="ER124" i="8"/>
  <c r="ER126" i="8"/>
  <c r="ER125" i="8"/>
  <c r="ES98" i="8"/>
  <c r="ES97" i="8"/>
  <c r="DZ105" i="8"/>
  <c r="DY105" i="8"/>
  <c r="DY55" i="8"/>
  <c r="DZ55" i="8"/>
  <c r="ER97" i="12" l="1"/>
  <c r="FB97" i="12" s="1"/>
  <c r="ER99" i="12"/>
  <c r="FB99" i="12" s="1"/>
  <c r="EE74" i="12"/>
  <c r="ED90" i="12"/>
  <c r="EQ92" i="12" s="1"/>
  <c r="FA92" i="12" s="1"/>
  <c r="EQ149" i="13"/>
  <c r="EY149" i="13" s="1"/>
  <c r="FI149" i="13" s="1"/>
  <c r="ER157" i="13"/>
  <c r="EZ157" i="13" s="1"/>
  <c r="FJ157" i="13" s="1"/>
  <c r="EQ147" i="13"/>
  <c r="EY147" i="13" s="1"/>
  <c r="FI147" i="13" s="1"/>
  <c r="EQ146" i="13"/>
  <c r="EY146" i="13" s="1"/>
  <c r="FI146" i="13" s="1"/>
  <c r="EQ152" i="13"/>
  <c r="EY152" i="13" s="1"/>
  <c r="FI152" i="13" s="1"/>
  <c r="EQ150" i="13"/>
  <c r="EY150" i="13" s="1"/>
  <c r="FI150" i="13" s="1"/>
  <c r="EQ148" i="13"/>
  <c r="EY148" i="13" s="1"/>
  <c r="FI148" i="13" s="1"/>
  <c r="ER168" i="13"/>
  <c r="EZ168" i="13" s="1"/>
  <c r="ER170" i="13"/>
  <c r="EZ170" i="13" s="1"/>
  <c r="EQ174" i="13"/>
  <c r="EY174" i="13" s="1"/>
  <c r="FI174" i="13" s="1"/>
  <c r="ER105" i="12"/>
  <c r="FB105" i="12" s="1"/>
  <c r="EQ89" i="12"/>
  <c r="FA89" i="12" s="1"/>
  <c r="ED88" i="12"/>
  <c r="EQ90" i="12" s="1"/>
  <c r="FA90" i="12" s="1"/>
  <c r="ER96" i="12"/>
  <c r="FB96" i="12" s="1"/>
  <c r="EE91" i="12"/>
  <c r="ER93" i="12" s="1"/>
  <c r="FB93" i="12" s="1"/>
  <c r="ED89" i="12"/>
  <c r="EQ91" i="12" s="1"/>
  <c r="FA91" i="12" s="1"/>
  <c r="ER94" i="12"/>
  <c r="FB94" i="12" s="1"/>
  <c r="EE89" i="12"/>
  <c r="ER91" i="12" s="1"/>
  <c r="FB91" i="12" s="1"/>
  <c r="EQ163" i="13"/>
  <c r="EY163" i="13" s="1"/>
  <c r="ED44" i="14"/>
  <c r="EQ101" i="12"/>
  <c r="FA101" i="12" s="1"/>
  <c r="EQ102" i="12"/>
  <c r="FA102" i="12" s="1"/>
  <c r="ER155" i="13"/>
  <c r="EZ155" i="13" s="1"/>
  <c r="FJ155" i="13" s="1"/>
  <c r="ER156" i="13"/>
  <c r="EZ156" i="13" s="1"/>
  <c r="FJ156" i="13" s="1"/>
  <c r="ER154" i="13"/>
  <c r="EZ154" i="13" s="1"/>
  <c r="FJ154" i="13" s="1"/>
  <c r="ED25" i="15"/>
  <c r="ED159" i="13"/>
  <c r="ED91" i="12"/>
  <c r="EQ93" i="12" s="1"/>
  <c r="FA93" i="12" s="1"/>
  <c r="EQ138" i="13"/>
  <c r="EE159" i="13"/>
  <c r="ED74" i="12"/>
  <c r="EF62" i="12"/>
  <c r="EQ180" i="13"/>
  <c r="EQ179" i="13"/>
  <c r="EY179" i="13" s="1"/>
  <c r="EQ162" i="13"/>
  <c r="EY162" i="13" s="1"/>
  <c r="FI162" i="13" s="1"/>
  <c r="EQ161" i="13"/>
  <c r="EY161" i="13" s="1"/>
  <c r="EQ160" i="13"/>
  <c r="EY160" i="13" s="1"/>
  <c r="ED79" i="14"/>
  <c r="DY86" i="14"/>
  <c r="ED86" i="14" s="1"/>
  <c r="EQ79" i="14" s="1"/>
  <c r="ER160" i="13"/>
  <c r="EZ160" i="13" s="1"/>
  <c r="ER161" i="13"/>
  <c r="EZ161" i="13" s="1"/>
  <c r="ER162" i="13"/>
  <c r="EZ162" i="13" s="1"/>
  <c r="FJ162" i="13" s="1"/>
  <c r="ER148" i="13"/>
  <c r="EZ148" i="13" s="1"/>
  <c r="FJ148" i="13" s="1"/>
  <c r="ER150" i="13"/>
  <c r="EZ150" i="13" s="1"/>
  <c r="FJ150" i="13" s="1"/>
  <c r="ER152" i="13"/>
  <c r="EZ152" i="13" s="1"/>
  <c r="FJ152" i="13" s="1"/>
  <c r="ER151" i="13"/>
  <c r="EZ151" i="13" s="1"/>
  <c r="FJ151" i="13" s="1"/>
  <c r="ER147" i="13"/>
  <c r="EZ147" i="13" s="1"/>
  <c r="FJ147" i="13" s="1"/>
  <c r="ER146" i="13"/>
  <c r="EZ146" i="13" s="1"/>
  <c r="FJ146" i="13" s="1"/>
  <c r="ER149" i="13"/>
  <c r="EZ149" i="13" s="1"/>
  <c r="FJ149" i="13" s="1"/>
  <c r="ER180" i="13"/>
  <c r="ER179" i="13"/>
  <c r="EZ179" i="13" s="1"/>
  <c r="FJ179" i="13" s="1"/>
  <c r="EQ107" i="12"/>
  <c r="FA107" i="12" s="1"/>
  <c r="EQ106" i="12"/>
  <c r="FA106" i="12" s="1"/>
  <c r="FA88" i="12"/>
  <c r="C2" i="49"/>
  <c r="EZ36" i="14"/>
  <c r="ER88" i="12"/>
  <c r="ER89" i="12"/>
  <c r="FB89" i="12" s="1"/>
  <c r="ER165" i="13"/>
  <c r="EZ165" i="13" s="1"/>
  <c r="ER166" i="13"/>
  <c r="EZ166" i="13" s="1"/>
  <c r="ER167" i="13"/>
  <c r="EZ167" i="13" s="1"/>
  <c r="ER164" i="13"/>
  <c r="EZ164" i="13" s="1"/>
  <c r="ER102" i="12"/>
  <c r="FB102" i="12" s="1"/>
  <c r="ER101" i="12"/>
  <c r="FB101" i="12" s="1"/>
  <c r="ER100" i="12"/>
  <c r="FB100" i="12" s="1"/>
  <c r="EE79" i="14"/>
  <c r="DZ86" i="14"/>
  <c r="EE86" i="14" s="1"/>
  <c r="ER79" i="14" s="1"/>
  <c r="FA36" i="14"/>
  <c r="C2" i="51"/>
  <c r="C2" i="57"/>
  <c r="FB17" i="15"/>
  <c r="EE60" i="15"/>
  <c r="DZ67" i="15"/>
  <c r="EE67" i="15" s="1"/>
  <c r="ER60" i="15" s="1"/>
  <c r="ED60" i="15"/>
  <c r="DY67" i="15"/>
  <c r="ED67" i="15" s="1"/>
  <c r="EQ60" i="15" s="1"/>
  <c r="EE44" i="14"/>
  <c r="EQ96" i="12"/>
  <c r="FA96" i="12" s="1"/>
  <c r="EQ95" i="12"/>
  <c r="FA95" i="12" s="1"/>
  <c r="EQ94" i="12"/>
  <c r="FA94" i="12" s="1"/>
  <c r="EE25" i="15"/>
  <c r="FA62" i="12"/>
  <c r="EQ82" i="12"/>
  <c r="C2" i="29" s="1"/>
  <c r="EQ177" i="13"/>
  <c r="EY177" i="13" s="1"/>
  <c r="FI177" i="13" s="1"/>
  <c r="EQ176" i="13"/>
  <c r="EY176" i="13" s="1"/>
  <c r="FI176" i="13" s="1"/>
  <c r="EQ104" i="12"/>
  <c r="FA104" i="12" s="1"/>
  <c r="EQ105" i="12"/>
  <c r="FA105" i="12" s="1"/>
  <c r="EQ168" i="13"/>
  <c r="EY168" i="13" s="1"/>
  <c r="FI168" i="13" s="1"/>
  <c r="EQ169" i="13"/>
  <c r="EY169" i="13" s="1"/>
  <c r="FI169" i="13" s="1"/>
  <c r="EQ172" i="13"/>
  <c r="EY172" i="13" s="1"/>
  <c r="EQ171" i="13"/>
  <c r="EY171" i="13" s="1"/>
  <c r="FI171" i="13" s="1"/>
  <c r="EQ170" i="13"/>
  <c r="EY170" i="13" s="1"/>
  <c r="FI170" i="13" s="1"/>
  <c r="EQ99" i="12"/>
  <c r="FA99" i="12" s="1"/>
  <c r="EQ98" i="12"/>
  <c r="FA98" i="12" s="1"/>
  <c r="EQ97" i="12"/>
  <c r="FA97" i="12" s="1"/>
  <c r="FA17" i="15"/>
  <c r="C2" i="55"/>
  <c r="ER107" i="12"/>
  <c r="FB107" i="12" s="1"/>
  <c r="ER106" i="12"/>
  <c r="FB106" i="12" s="1"/>
  <c r="EE88" i="12"/>
  <c r="EF88" i="12" s="1"/>
  <c r="EQ156" i="13"/>
  <c r="EY156" i="13" s="1"/>
  <c r="FI156" i="13" s="1"/>
  <c r="EQ153" i="13"/>
  <c r="EY153" i="13" s="1"/>
  <c r="FI153" i="13" s="1"/>
  <c r="EQ155" i="13"/>
  <c r="EY155" i="13" s="1"/>
  <c r="FI155" i="13" s="1"/>
  <c r="EQ154" i="13"/>
  <c r="EY154" i="13" s="1"/>
  <c r="FI154" i="13" s="1"/>
  <c r="EQ157" i="13"/>
  <c r="EY157" i="13" s="1"/>
  <c r="FI157" i="13" s="1"/>
  <c r="FB62" i="12"/>
  <c r="ER82" i="12"/>
  <c r="C2" i="31" s="1"/>
  <c r="EZ103" i="13"/>
  <c r="ER138" i="13"/>
  <c r="FI103" i="13"/>
  <c r="FI137" i="13" s="1"/>
  <c r="EY138" i="13"/>
  <c r="EI90" i="8"/>
  <c r="ES50" i="8"/>
  <c r="EH139" i="8"/>
  <c r="ER95" i="8"/>
  <c r="EH90" i="8"/>
  <c r="EI139" i="8"/>
  <c r="ES95" i="8"/>
  <c r="FI175" i="13"/>
  <c r="FI167" i="13"/>
  <c r="FI164" i="13"/>
  <c r="FI165" i="13"/>
  <c r="FI163" i="13"/>
  <c r="FI166" i="13"/>
  <c r="FJ178" i="13"/>
  <c r="FJ177" i="13"/>
  <c r="ED100" i="12" l="1"/>
  <c r="EQ108" i="12"/>
  <c r="C2" i="30" s="1"/>
  <c r="FA79" i="14"/>
  <c r="C2" i="52"/>
  <c r="EZ79" i="14"/>
  <c r="C2" i="50"/>
  <c r="FB60" i="15"/>
  <c r="C2" i="58"/>
  <c r="EE87" i="14"/>
  <c r="ED87" i="14"/>
  <c r="ER90" i="12"/>
  <c r="FB90" i="12" s="1"/>
  <c r="EE100" i="12"/>
  <c r="FA60" i="15"/>
  <c r="C2" i="56"/>
  <c r="FJ103" i="13"/>
  <c r="FJ137" i="13" s="1"/>
  <c r="EZ138" i="13"/>
  <c r="EZ137" i="13" s="1"/>
  <c r="FB88" i="12"/>
  <c r="B2" i="17"/>
  <c r="B2" i="24"/>
  <c r="B2" i="19"/>
  <c r="B2" i="26"/>
  <c r="B2" i="23"/>
  <c r="B2" i="16"/>
  <c r="B2" i="25"/>
  <c r="B2" i="18"/>
  <c r="FJ175" i="13"/>
  <c r="FJ176" i="13"/>
  <c r="FJ163" i="13"/>
  <c r="FJ166" i="13"/>
  <c r="FJ164" i="13"/>
  <c r="FJ165" i="13"/>
  <c r="EQ159" i="13"/>
  <c r="FI160" i="13"/>
  <c r="FI161" i="13"/>
  <c r="FJ160" i="13"/>
  <c r="FJ161" i="13"/>
  <c r="ER159" i="13"/>
  <c r="FJ172" i="13"/>
  <c r="FJ173" i="13"/>
  <c r="FJ174" i="13"/>
  <c r="FJ167" i="13"/>
  <c r="FJ168" i="13"/>
  <c r="FJ171" i="13"/>
  <c r="FJ169" i="13"/>
  <c r="FJ170" i="13"/>
  <c r="FI179" i="13"/>
  <c r="FI178" i="13"/>
  <c r="FI172" i="13"/>
  <c r="FI173" i="13"/>
  <c r="ER108" i="12" l="1"/>
  <c r="C2" i="32" s="1"/>
  <c r="C2" i="37"/>
  <c r="C2" i="18"/>
  <c r="FJ158" i="13"/>
  <c r="EZ159" i="13"/>
  <c r="FI158" i="13"/>
  <c r="EY159" i="13"/>
  <c r="ER181" i="13"/>
  <c r="EQ181" i="13"/>
  <c r="FI159" i="13" l="1"/>
  <c r="FI180" i="13" s="1"/>
  <c r="EY181" i="13"/>
  <c r="EY180" i="13" s="1"/>
  <c r="C2" i="17" s="1"/>
  <c r="FJ159" i="13"/>
  <c r="FJ180" i="13" s="1"/>
  <c r="EZ181" i="13"/>
  <c r="EZ180" i="13" s="1"/>
  <c r="C2" i="19" s="1"/>
  <c r="C2" i="38" l="1"/>
  <c r="C2" i="36"/>
  <c r="ER139" i="8"/>
  <c r="ES139" i="8"/>
  <c r="ES90" i="8"/>
  <c r="ER90" i="8"/>
  <c r="EY137" i="13" l="1"/>
  <c r="C2" i="35" l="1"/>
  <c r="C2" i="16"/>
</calcChain>
</file>

<file path=xl/comments1.xml><?xml version="1.0" encoding="utf-8"?>
<comments xmlns="http://schemas.openxmlformats.org/spreadsheetml/2006/main">
  <authors>
    <author>Author</author>
  </authors>
  <commentList>
    <comment ref="C6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Author:
</t>
        </r>
        <r>
          <rPr>
            <sz val="9"/>
            <color indexed="81"/>
            <rFont val="돋움"/>
            <family val="3"/>
            <charset val="129"/>
          </rPr>
          <t>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장항공공주택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상주인구의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나와있으므로</t>
        </r>
        <r>
          <rPr>
            <sz val="9"/>
            <color indexed="81"/>
            <rFont val="Tahoma"/>
            <family val="2"/>
          </rPr>
          <t xml:space="preserve">,
 </t>
        </r>
        <r>
          <rPr>
            <sz val="9"/>
            <color indexed="81"/>
            <rFont val="돋움"/>
            <family val="3"/>
            <charset val="129"/>
          </rPr>
          <t>유출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유입인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통행량이므로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나누어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</t>
        </r>
      </text>
    </comment>
  </commentList>
</comments>
</file>

<file path=xl/comments2.xml><?xml version="1.0" encoding="utf-8"?>
<comments xmlns="http://schemas.openxmlformats.org/spreadsheetml/2006/main">
  <authors>
    <author>Author</author>
  </authors>
  <commentList>
    <comment ref="AB59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돋움"/>
            <family val="3"/>
            <charset val="129"/>
          </rPr>
          <t>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  <r>
          <rPr>
            <b/>
            <sz val="9"/>
            <color indexed="81"/>
            <rFont val="돋움"/>
            <family val="3"/>
            <charset val="129"/>
          </rPr>
          <t>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장항공공주택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EB10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C103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도착량에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대한증가율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바로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EL11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  <comment ref="EZ137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장항공공주택지구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반영량
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돋움"/>
            <family val="3"/>
            <charset val="129"/>
          </rPr>
          <t>실제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장래개발코드로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들어감</t>
        </r>
        <r>
          <rPr>
            <sz val="9"/>
            <color indexed="81"/>
            <rFont val="Tahoma"/>
            <family val="2"/>
          </rPr>
          <t>)</t>
        </r>
      </text>
    </comment>
    <comment ref="EB1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L15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</commentList>
</comments>
</file>

<file path=xl/comments3.xml><?xml version="1.0" encoding="utf-8"?>
<comments xmlns="http://schemas.openxmlformats.org/spreadsheetml/2006/main">
  <authors>
    <author>Author</author>
  </authors>
  <commentList>
    <comment ref="Y26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B27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EB60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K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FD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</text>
    </comment>
    <comment ref="EM64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상업시설용지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  <r>
          <rPr>
            <sz val="9"/>
            <color indexed="81"/>
            <rFont val="Tahoma"/>
            <family val="2"/>
          </rPr>
          <t xml:space="preserve">. </t>
        </r>
        <r>
          <rPr>
            <sz val="9"/>
            <color indexed="81"/>
            <rFont val="돋움"/>
            <family val="3"/>
            <charset val="129"/>
          </rPr>
          <t>잘못봐서</t>
        </r>
        <r>
          <rPr>
            <sz val="9"/>
            <color indexed="81"/>
            <rFont val="Tahoma"/>
            <family val="2"/>
          </rPr>
          <t xml:space="preserve"> ID </t>
        </r>
        <r>
          <rPr>
            <sz val="9"/>
            <color indexed="81"/>
            <rFont val="돋움"/>
            <family val="3"/>
            <charset val="129"/>
          </rPr>
          <t>체계가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작업시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혼동하지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것</t>
        </r>
      </text>
    </comment>
  </commentList>
</comments>
</file>

<file path=xl/comments4.xml><?xml version="1.0" encoding="utf-8"?>
<comments xmlns="http://schemas.openxmlformats.org/spreadsheetml/2006/main">
  <authors>
    <author>Author</author>
  </authors>
  <commentList>
    <comment ref="N2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
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일산테크노밸리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EC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M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V44" authorId="0" shapeId="0">
      <text>
        <r>
          <rPr>
            <b/>
            <sz val="9"/>
            <color indexed="81"/>
            <rFont val="Tahoma"/>
            <family val="2"/>
          </rPr>
          <t xml:space="preserve">Author:
</t>
        </r>
        <r>
          <rPr>
            <b/>
            <sz val="9"/>
            <color indexed="81"/>
            <rFont val="돋움"/>
            <family val="3"/>
            <charset val="129"/>
          </rPr>
          <t>사업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장래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발생량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및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도착량으로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B176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여객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화물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교통영향평가에서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추정한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대수를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그대로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사용하였음</t>
        </r>
      </text>
    </comment>
    <comment ref="C282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282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comments5.xml><?xml version="1.0" encoding="utf-8"?>
<comments xmlns="http://schemas.openxmlformats.org/spreadsheetml/2006/main">
  <authors>
    <author>Author</author>
  </authors>
  <commentList>
    <comment ref="B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장래년도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통행량에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배포</t>
        </r>
        <r>
          <rPr>
            <sz val="9"/>
            <color indexed="81"/>
            <rFont val="Tahoma"/>
            <family val="2"/>
          </rPr>
          <t xml:space="preserve"> OD </t>
        </r>
        <r>
          <rPr>
            <sz val="9"/>
            <color indexed="81"/>
            <rFont val="돋움"/>
            <family val="3"/>
            <charset val="129"/>
          </rPr>
          <t>기준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고양시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A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버스와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승용차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택시의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동일</t>
        </r>
      </text>
    </comment>
  </commentList>
</comments>
</file>

<file path=xl/comments6.xml><?xml version="1.0" encoding="utf-8"?>
<comments xmlns="http://schemas.openxmlformats.org/spreadsheetml/2006/main">
  <authors>
    <author>Author</author>
  </authors>
  <commentList>
    <comment ref="K1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적용되어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이동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지역별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산출</t>
        </r>
      </text>
    </comment>
  </commentList>
</comments>
</file>

<file path=xl/comments7.xml><?xml version="1.0" encoding="utf-8"?>
<comments xmlns="http://schemas.openxmlformats.org/spreadsheetml/2006/main">
  <authors>
    <author>Author</author>
  </authors>
  <commentList>
    <comment ref="A1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증가량은</t>
        </r>
        <r>
          <rPr>
            <sz val="9"/>
            <color indexed="81"/>
            <rFont val="Tahoma"/>
            <family val="2"/>
          </rPr>
          <t xml:space="preserve"> 
(</t>
        </r>
        <r>
          <rPr>
            <sz val="9"/>
            <color indexed="81"/>
            <rFont val="돋움"/>
            <family val="3"/>
            <charset val="129"/>
          </rPr>
          <t>장항공공주택지구로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</t>
        </r>
        <r>
          <rPr>
            <sz val="9"/>
            <color indexed="81"/>
            <rFont val="Tahoma"/>
            <family val="2"/>
          </rPr>
          <t xml:space="preserve">)
</t>
        </r>
        <r>
          <rPr>
            <sz val="9"/>
            <color indexed="81"/>
            <rFont val="돋움"/>
            <family val="3"/>
            <charset val="129"/>
          </rPr>
          <t>이라고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가정
</t>
        </r>
        <r>
          <rPr>
            <sz val="9"/>
            <color indexed="81"/>
            <rFont val="Tahoma"/>
            <family val="2"/>
          </rPr>
          <t>25</t>
        </r>
        <r>
          <rPr>
            <sz val="9"/>
            <color indexed="81"/>
            <rFont val="돋움"/>
            <family val="3"/>
            <charset val="129"/>
          </rPr>
          <t>년까지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입주가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완료되었기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>, 
30</t>
        </r>
        <r>
          <rPr>
            <sz val="9"/>
            <color indexed="81"/>
            <rFont val="돋움"/>
            <family val="3"/>
            <charset val="129"/>
          </rPr>
          <t>년부터</t>
        </r>
        <r>
          <rPr>
            <sz val="9"/>
            <color indexed="81"/>
            <rFont val="Tahoma"/>
            <family val="2"/>
          </rPr>
          <t xml:space="preserve"> 50</t>
        </r>
        <r>
          <rPr>
            <sz val="9"/>
            <color indexed="81"/>
            <rFont val="돋움"/>
            <family val="3"/>
            <charset val="129"/>
          </rPr>
          <t>년까지는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장항공공주택지구의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반영하여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적용
</t>
        </r>
        <r>
          <rPr>
            <sz val="9"/>
            <color indexed="81"/>
            <rFont val="Tahoma"/>
            <family val="2"/>
          </rPr>
          <t xml:space="preserve">&amp;&amp;&amp;
</t>
        </r>
        <r>
          <rPr>
            <sz val="9"/>
            <color indexed="81"/>
            <rFont val="돋움"/>
            <family val="3"/>
            <charset val="129"/>
          </rPr>
          <t>일산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동구에는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 xml:space="preserve"> 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개발계획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계획이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</text>
    </comment>
  </commentList>
</comments>
</file>

<file path=xl/comments8.xml><?xml version="1.0" encoding="utf-8"?>
<comments xmlns="http://schemas.openxmlformats.org/spreadsheetml/2006/main">
  <authors>
    <author>Author</author>
  </authors>
  <commentLis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C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sharedStrings.xml><?xml version="1.0" encoding="utf-8"?>
<sst xmlns="http://schemas.openxmlformats.org/spreadsheetml/2006/main" count="6926" uniqueCount="907">
  <si>
    <t>pp-68</t>
    <phoneticPr fontId="2" type="noConversion"/>
  </si>
  <si>
    <t>구분</t>
  </si>
  <si>
    <r>
      <t>세대수</t>
    </r>
    <r>
      <rPr>
        <b/>
        <sz val="10"/>
        <color rgb="FF000000"/>
        <rFont val="맑은 고딕"/>
        <family val="3"/>
        <charset val="129"/>
        <scheme val="minor"/>
      </rPr>
      <t>,</t>
    </r>
  </si>
  <si>
    <t>부지면적</t>
  </si>
  <si>
    <r>
      <t>(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</si>
  <si>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원단위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</si>
  <si>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/1,000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</si>
  <si>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활동인구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</si>
  <si>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일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</si>
  <si>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상근인구</t>
  </si>
  <si>
    <t>이용인구</t>
  </si>
  <si>
    <t>합계</t>
  </si>
  <si>
    <t>단독주택</t>
  </si>
  <si>
    <t>근린생활시설</t>
  </si>
  <si>
    <t>판매시설</t>
  </si>
  <si>
    <t>지식기반시설</t>
  </si>
  <si>
    <t>연구시설</t>
  </si>
  <si>
    <t>첨단제조시설</t>
  </si>
  <si>
    <t>복합</t>
  </si>
  <si>
    <t>용지</t>
  </si>
  <si>
    <t>시설</t>
  </si>
  <si>
    <t>계</t>
  </si>
  <si>
    <t>-</t>
  </si>
  <si>
    <t>업무시설</t>
  </si>
  <si>
    <t>지원시설</t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</si>
  <si>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</si>
  <si>
    <t>총 계</t>
  </si>
  <si>
    <t>구분</t>
    <phoneticPr fontId="2" type="noConversion"/>
  </si>
  <si>
    <t>■ 기준년도 용도별 활동인구 예측(2020년 기준)</t>
    <phoneticPr fontId="2" type="noConversion"/>
  </si>
  <si>
    <t>활 동 인 구</t>
  </si>
  <si>
    <r>
      <t>2025</t>
    </r>
    <r>
      <rPr>
        <b/>
        <sz val="10"/>
        <color rgb="FF000000"/>
        <rFont val="휴먼고딕"/>
        <charset val="129"/>
      </rPr>
      <t>년</t>
    </r>
  </si>
  <si>
    <r>
      <t>2029</t>
    </r>
    <r>
      <rPr>
        <b/>
        <sz val="10"/>
        <color rgb="FF000000"/>
        <rFont val="휴먼고딕"/>
        <charset val="129"/>
      </rPr>
      <t>년</t>
    </r>
  </si>
  <si>
    <t>■ 장래 목표연도 활동인구 예측결과</t>
    <phoneticPr fontId="2" type="noConversion"/>
  </si>
  <si>
    <t>pp-69</t>
    <phoneticPr fontId="2" type="noConversion"/>
  </si>
  <si>
    <t>구분</t>
    <phoneticPr fontId="2" type="noConversion"/>
  </si>
  <si>
    <t>인당 목적통행비</t>
    <phoneticPr fontId="2" type="noConversion"/>
  </si>
  <si>
    <t>상근인구</t>
    <phoneticPr fontId="2" type="noConversion"/>
  </si>
  <si>
    <t>이용인구</t>
    <phoneticPr fontId="2" type="noConversion"/>
  </si>
  <si>
    <t>통행/인</t>
  </si>
  <si>
    <t>구 분</t>
  </si>
  <si>
    <t>유입</t>
  </si>
  <si>
    <t>유출</t>
  </si>
  <si>
    <r>
      <t xml:space="preserve">21:00 </t>
    </r>
    <r>
      <rPr>
        <sz val="10"/>
        <color rgb="FF000000"/>
        <rFont val="휴먼고딕"/>
        <charset val="129"/>
      </rPr>
      <t>이후</t>
    </r>
  </si>
  <si>
    <t>연구시설</t>
    <phoneticPr fontId="2" type="noConversion"/>
  </si>
  <si>
    <t>통근</t>
  </si>
  <si>
    <t>통학</t>
  </si>
  <si>
    <t>기타</t>
  </si>
  <si>
    <t>도시지원시설</t>
  </si>
  <si>
    <t>화물 통행량 2025</t>
    <phoneticPr fontId="2" type="noConversion"/>
  </si>
  <si>
    <t>시간대</t>
  </si>
  <si>
    <t>소형</t>
  </si>
  <si>
    <t>　중형</t>
  </si>
  <si>
    <t>대형</t>
  </si>
  <si>
    <t>　합계</t>
  </si>
  <si>
    <r>
      <t>07</t>
    </r>
    <r>
      <rPr>
        <sz val="10"/>
        <color rgb="FF000000"/>
        <rFont val="휴먼고딕"/>
        <charset val="129"/>
      </rPr>
      <t>시 이전</t>
    </r>
  </si>
  <si>
    <t>07:00~08:00</t>
  </si>
  <si>
    <t>08:00~09:00</t>
  </si>
  <si>
    <t>09:00~10:00</t>
  </si>
  <si>
    <t>10:00~11:00</t>
  </si>
  <si>
    <t>11:00~12:00</t>
  </si>
  <si>
    <t>12:00~13:00</t>
  </si>
  <si>
    <t>13:00~14:00</t>
  </si>
  <si>
    <t>14:00~15:00</t>
  </si>
  <si>
    <t>15:00~16:00</t>
  </si>
  <si>
    <t>16:00~17:00</t>
  </si>
  <si>
    <t>17:00~18:00</t>
  </si>
  <si>
    <t>18:00~19:00</t>
  </si>
  <si>
    <t>19:00~20:00</t>
  </si>
  <si>
    <t>20:00~21:00</t>
  </si>
  <si>
    <t>■ 시간대별 차종별 화물 발생교통량</t>
    <phoneticPr fontId="2" type="noConversion"/>
  </si>
  <si>
    <t>통행 발생량과 통행 도착량은 동일</t>
    <phoneticPr fontId="2" type="noConversion"/>
  </si>
  <si>
    <t>■ 장래 목표연도 1일 총 통행량 예측</t>
    <phoneticPr fontId="2" type="noConversion"/>
  </si>
  <si>
    <t>통행 발생량 + 통행 도착량</t>
    <phoneticPr fontId="2" type="noConversion"/>
  </si>
  <si>
    <t>A1</t>
    <phoneticPr fontId="2" type="noConversion"/>
  </si>
  <si>
    <t>면적</t>
    <phoneticPr fontId="2" type="noConversion"/>
  </si>
  <si>
    <t>B1</t>
    <phoneticPr fontId="2" type="noConversion"/>
  </si>
  <si>
    <t>B2</t>
  </si>
  <si>
    <t>B2</t>
    <phoneticPr fontId="2" type="noConversion"/>
  </si>
  <si>
    <t>C1</t>
    <phoneticPr fontId="2" type="noConversion"/>
  </si>
  <si>
    <t>C2</t>
  </si>
  <si>
    <t>C2</t>
    <phoneticPr fontId="2" type="noConversion"/>
  </si>
  <si>
    <t>D2</t>
    <phoneticPr fontId="2" type="noConversion"/>
  </si>
  <si>
    <t>D3</t>
    <phoneticPr fontId="2" type="noConversion"/>
  </si>
  <si>
    <t>D5</t>
    <phoneticPr fontId="2" type="noConversion"/>
  </si>
  <si>
    <t>D6</t>
  </si>
  <si>
    <t>D1</t>
    <phoneticPr fontId="2" type="noConversion"/>
  </si>
  <si>
    <t>D2</t>
    <phoneticPr fontId="2" type="noConversion"/>
  </si>
  <si>
    <t>D3</t>
    <phoneticPr fontId="2" type="noConversion"/>
  </si>
  <si>
    <t>D4</t>
    <phoneticPr fontId="2" type="noConversion"/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</si>
  <si>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</si>
  <si>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</si>
  <si>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</si>
  <si>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</si>
  <si>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</si>
  <si>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</si>
  <si>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</si>
  <si>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</si>
  <si>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</si>
  <si>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</si>
  <si>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</si>
  <si>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</si>
  <si>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</si>
  <si>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F1</t>
    <phoneticPr fontId="2" type="noConversion"/>
  </si>
  <si>
    <t>F2</t>
  </si>
  <si>
    <t>F3</t>
  </si>
  <si>
    <t>G1</t>
    <phoneticPr fontId="2" type="noConversion"/>
  </si>
  <si>
    <t>G2</t>
    <phoneticPr fontId="2" type="noConversion"/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</si>
  <si>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</si>
  <si>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</si>
  <si>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</si>
  <si>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</si>
  <si>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E</t>
    <phoneticPr fontId="2" type="noConversion"/>
  </si>
  <si>
    <t>F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</si>
  <si>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</si>
  <si>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</si>
  <si>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</si>
  <si>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F1</t>
    <phoneticPr fontId="2" type="noConversion"/>
  </si>
  <si>
    <t>F4</t>
  </si>
  <si>
    <t>F5</t>
  </si>
  <si>
    <t>F6</t>
  </si>
  <si>
    <t>G</t>
    <phoneticPr fontId="2" type="noConversion"/>
  </si>
  <si>
    <t>G1</t>
    <phoneticPr fontId="2" type="noConversion"/>
  </si>
  <si>
    <t>G2</t>
    <phoneticPr fontId="2" type="noConversion"/>
  </si>
  <si>
    <t>G3</t>
    <phoneticPr fontId="2" type="noConversion"/>
  </si>
  <si>
    <t>H</t>
    <phoneticPr fontId="2" type="noConversion"/>
  </si>
  <si>
    <t>H1</t>
    <phoneticPr fontId="2" type="noConversion"/>
  </si>
  <si>
    <t>H2</t>
    <phoneticPr fontId="2" type="noConversion"/>
  </si>
  <si>
    <t>I1</t>
    <phoneticPr fontId="2" type="noConversion"/>
  </si>
  <si>
    <t>I2</t>
    <phoneticPr fontId="2" type="noConversion"/>
  </si>
  <si>
    <t>I</t>
    <phoneticPr fontId="2" type="noConversion"/>
  </si>
  <si>
    <t>I3</t>
  </si>
  <si>
    <t>I4</t>
  </si>
  <si>
    <t>I5</t>
  </si>
  <si>
    <t>I6</t>
  </si>
  <si>
    <t>I7</t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</si>
  <si>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</si>
  <si>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</si>
  <si>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</si>
  <si>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판매시설</t>
    <phoneticPr fontId="2" type="noConversion"/>
  </si>
  <si>
    <t>지식기반시설</t>
    <phoneticPr fontId="2" type="noConversion"/>
  </si>
  <si>
    <t>지식기반시설</t>
    <phoneticPr fontId="2" type="noConversion"/>
  </si>
  <si>
    <t>첨단제조시설</t>
    <phoneticPr fontId="2" type="noConversion"/>
  </si>
  <si>
    <t>복합</t>
    <phoneticPr fontId="2" type="noConversion"/>
  </si>
  <si>
    <t>복합지원</t>
    <phoneticPr fontId="2" type="noConversion"/>
  </si>
  <si>
    <t>지원시설</t>
    <phoneticPr fontId="2" type="noConversion"/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</si>
  <si>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</si>
  <si>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주차장(근린생활시설)</t>
    <phoneticPr fontId="2" type="noConversion"/>
  </si>
  <si>
    <t>용도시설</t>
    <phoneticPr fontId="2" type="noConversion"/>
  </si>
  <si>
    <t>ID</t>
    <phoneticPr fontId="2" type="noConversion"/>
  </si>
  <si>
    <t>파일 경로</t>
    <phoneticPr fontId="2" type="noConversion"/>
  </si>
  <si>
    <t>Z:\02_Completed_Works\2021W12-킨텍스교차로개선사업-211026\2021W12-99-Reference\관련_계획\2021.고양 일산테크노밸리 도시개발사업 교통영향평가(케이지엔지니어링)</t>
  </si>
  <si>
    <t>02장 교통현황조사분석_초안(0826).hwp</t>
    <phoneticPr fontId="2" type="noConversion"/>
  </si>
  <si>
    <t>Z:\02_Completed_Works\2021W12-킨텍스교차로개선사업-211026\2021W12-99-Reference\관련_계획\2021.경기고양 방송영상밸리 도시개발사업 교통영향평가(삼안)</t>
  </si>
  <si>
    <t>파일경로 :</t>
    <phoneticPr fontId="2" type="noConversion"/>
  </si>
  <si>
    <t>경기 고양 영상밸리_수정의결보완서.hwp</t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</si>
  <si>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M1</t>
    </r>
  </si>
  <si>
    <t>승용차</t>
  </si>
  <si>
    <t>택시</t>
  </si>
  <si>
    <t>버스</t>
  </si>
  <si>
    <r>
      <t>도보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HY신명조"/>
        <family val="3"/>
        <charset val="129"/>
      </rPr>
      <t>기타</t>
    </r>
  </si>
  <si>
    <t>합 계</t>
  </si>
  <si>
    <r>
      <t xml:space="preserve">07:00 </t>
    </r>
    <r>
      <rPr>
        <sz val="10"/>
        <color rgb="FF000000"/>
        <rFont val="HY신명조"/>
        <family val="3"/>
        <charset val="129"/>
      </rPr>
      <t>이전</t>
    </r>
  </si>
  <si>
    <r>
      <t xml:space="preserve">21:00 </t>
    </r>
    <r>
      <rPr>
        <sz val="10"/>
        <color rgb="FF000000"/>
        <rFont val="HY신명조"/>
        <family val="3"/>
        <charset val="129"/>
      </rPr>
      <t>이후</t>
    </r>
  </si>
  <si>
    <t>평균재차인원</t>
  </si>
  <si>
    <t>공동주택</t>
  </si>
  <si>
    <t>상주인구</t>
  </si>
  <si>
    <t>방문인구</t>
  </si>
  <si>
    <t>상업시설</t>
  </si>
  <si>
    <t>방송시설</t>
  </si>
  <si>
    <t>일반업무시설</t>
  </si>
  <si>
    <t>공공업무시설</t>
  </si>
  <si>
    <t>학교시설</t>
  </si>
  <si>
    <t>&lt;표 3-&gt; 시설별 ·차종별 평균재차인원 산정</t>
    <phoneticPr fontId="2" type="noConversion"/>
  </si>
  <si>
    <r>
      <t>2024</t>
    </r>
    <r>
      <rPr>
        <b/>
        <sz val="9"/>
        <color rgb="FF000000"/>
        <rFont val="HY신명조"/>
        <family val="3"/>
        <charset val="129"/>
      </rPr>
      <t>년</t>
    </r>
  </si>
  <si>
    <t>택 시</t>
  </si>
  <si>
    <t>구 분</t>
    <phoneticPr fontId="2" type="noConversion"/>
  </si>
  <si>
    <t>&lt;표 3-&gt; 시간대별 유출입 통행량(주거시설, 2024년)</t>
    <phoneticPr fontId="2" type="noConversion"/>
  </si>
  <si>
    <t>구 분</t>
    <phoneticPr fontId="2" type="noConversion"/>
  </si>
  <si>
    <t>(단위 : 통행/시, 통행/일)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</si>
  <si>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M2</t>
    </r>
  </si>
  <si>
    <t>&lt;표 3-&gt; 장래 시간대별 발생교통량(주거시설, M1)</t>
    <phoneticPr fontId="2" type="noConversion"/>
  </si>
  <si>
    <r>
      <t>2024</t>
    </r>
    <r>
      <rPr>
        <b/>
        <sz val="10"/>
        <color rgb="FF000000"/>
        <rFont val="HY신명조"/>
        <family val="3"/>
        <charset val="129"/>
      </rPr>
      <t>년</t>
    </r>
  </si>
  <si>
    <t>&lt;표 3-&gt; 장래 시간대별 발생교통량(주거시설, M2)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</si>
  <si>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M3</t>
    </r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</si>
  <si>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M4</t>
    </r>
  </si>
  <si>
    <t>&lt;표 3-&gt; 장래 시간대별 발생교통량(주거시설, M3)</t>
    <phoneticPr fontId="2" type="noConversion"/>
  </si>
  <si>
    <t xml:space="preserve">&lt;표 3-&gt; 장래 시간대별 발생교통량(주거시설, M4)
</t>
    <phoneticPr fontId="2" type="noConversion"/>
  </si>
  <si>
    <t>&lt;표 3-&gt; 장래 시간대별 발생교통량(주거시설, 단독주택)</t>
    <phoneticPr fontId="2" type="noConversion"/>
  </si>
  <si>
    <t>버스는 노선버스로 가정</t>
    <phoneticPr fontId="2" type="noConversion"/>
  </si>
  <si>
    <t>시내버스 재차인원</t>
    <phoneticPr fontId="2" type="noConversion"/>
  </si>
  <si>
    <t>경기도</t>
    <phoneticPr fontId="2" type="noConversion"/>
  </si>
  <si>
    <t>재차인원</t>
    <phoneticPr fontId="2" type="noConversion"/>
  </si>
  <si>
    <t>pp-194</t>
    <phoneticPr fontId="2" type="noConversion"/>
  </si>
  <si>
    <t>KTDB, 수도권 설명자료</t>
    <phoneticPr fontId="2" type="noConversion"/>
  </si>
  <si>
    <t>pp-37</t>
    <phoneticPr fontId="2" type="noConversion"/>
  </si>
  <si>
    <t>&lt;표 3-&gt; 교통수단별 통행량 예측(주거시설, 2024년)</t>
    <phoneticPr fontId="2" type="noConversion"/>
  </si>
  <si>
    <r>
      <t>(</t>
    </r>
    <r>
      <rPr>
        <sz val="9"/>
        <color rgb="FF000000"/>
        <rFont val="HY신명조"/>
        <family val="3"/>
        <charset val="129"/>
      </rPr>
      <t xml:space="preserve">단위 </t>
    </r>
    <r>
      <rPr>
        <sz val="9"/>
        <color rgb="FF000000"/>
        <rFont val="맑은 고딕"/>
        <family val="3"/>
        <charset val="129"/>
        <scheme val="minor"/>
      </rPr>
      <t xml:space="preserve">: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시</t>
    </r>
    <r>
      <rPr>
        <sz val="9"/>
        <color rgb="FF000000"/>
        <rFont val="맑은 고딕"/>
        <family val="3"/>
        <charset val="129"/>
        <scheme val="minor"/>
      </rPr>
      <t xml:space="preserve">,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일</t>
    </r>
    <r>
      <rPr>
        <sz val="9"/>
        <color rgb="FF000000"/>
        <rFont val="맑은 고딕"/>
        <family val="3"/>
        <charset val="129"/>
        <scheme val="minor"/>
      </rPr>
      <t>)</t>
    </r>
  </si>
  <si>
    <t>주상복합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</si>
  <si>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</si>
  <si>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</si>
  <si>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</si>
  <si>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</si>
  <si>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단독주택</t>
    <phoneticPr fontId="2" type="noConversion"/>
  </si>
  <si>
    <t>&lt;표 3-&gt; 교통수단별 통행량 예측(비주거시설, 2024년)</t>
    <phoneticPr fontId="2" type="noConversion"/>
  </si>
  <si>
    <t>(단위 : 통행/시, 통행/일)</t>
    <phoneticPr fontId="2" type="noConversion"/>
  </si>
  <si>
    <t>구분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</si>
  <si>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</si>
  <si>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</si>
  <si>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</si>
  <si>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</si>
  <si>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</si>
  <si>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</si>
  <si>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&lt;표 3-&gt; 장래 시간대별 발생교통량(주거시설, M1)</t>
    <phoneticPr fontId="2" type="noConversion"/>
  </si>
  <si>
    <t>pp-195</t>
    <phoneticPr fontId="2" type="noConversion"/>
  </si>
  <si>
    <t>pp-182</t>
    <phoneticPr fontId="2" type="noConversion"/>
  </si>
  <si>
    <t>2024년</t>
    <phoneticPr fontId="2" type="noConversion"/>
  </si>
  <si>
    <t>용도시설</t>
    <phoneticPr fontId="2" type="noConversion"/>
  </si>
  <si>
    <t>A2</t>
    <phoneticPr fontId="2" type="noConversion"/>
  </si>
  <si>
    <t>상업시설</t>
    <phoneticPr fontId="2" type="noConversion"/>
  </si>
  <si>
    <t>상업시설</t>
    <phoneticPr fontId="2" type="noConversion"/>
  </si>
  <si>
    <t>B3</t>
  </si>
  <si>
    <t>B4</t>
  </si>
  <si>
    <t>C1</t>
    <phoneticPr fontId="2" type="noConversion"/>
  </si>
  <si>
    <t>C3</t>
  </si>
  <si>
    <t>도시지원시설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</si>
  <si>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</si>
  <si>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</si>
  <si>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</si>
  <si>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</si>
  <si>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</si>
  <si>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</si>
  <si>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근린생황시설</t>
    <phoneticPr fontId="2" type="noConversion"/>
  </si>
  <si>
    <t>H1</t>
    <phoneticPr fontId="2" type="noConversion"/>
  </si>
  <si>
    <t>: 수도권 재차인원 반영 추정대수</t>
    <phoneticPr fontId="2" type="noConversion"/>
  </si>
  <si>
    <t>통행량</t>
    <phoneticPr fontId="2" type="noConversion"/>
  </si>
  <si>
    <t>작성 요망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</si>
  <si>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</si>
  <si>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01_2. 변경심의 보고서(191108)-최종.hwp</t>
  </si>
  <si>
    <t>pp-7</t>
    <phoneticPr fontId="2" type="noConversion"/>
  </si>
  <si>
    <t xml:space="preserve">파일경로 : </t>
    <phoneticPr fontId="2" type="noConversion"/>
  </si>
  <si>
    <t>X:\00_TLSYSLAB_Mighty_Drive\2021W12-킨텍스교차로개선사업-211026\2021W12-99-Reference\01 관련자료(lh)\★211013_교평변경신고_최종보고서</t>
  </si>
  <si>
    <t>고양장항 공공주택지구 교통영향평가 변경신고(통합보고서).pdf</t>
    <phoneticPr fontId="2" type="noConversion"/>
  </si>
  <si>
    <t>토지이용계획도</t>
    <phoneticPr fontId="2" type="noConversion"/>
  </si>
  <si>
    <t>통행량</t>
    <phoneticPr fontId="2" type="noConversion"/>
  </si>
  <si>
    <t>2로 나눠야됨</t>
    <phoneticPr fontId="2" type="noConversion"/>
  </si>
  <si>
    <t>(단위 : 통행/일)</t>
    <phoneticPr fontId="2" type="noConversion"/>
  </si>
  <si>
    <t>도보 및 기타</t>
  </si>
  <si>
    <t>주거시설</t>
  </si>
  <si>
    <t>산업시설</t>
  </si>
  <si>
    <t>지원 및 상업시설</t>
  </si>
  <si>
    <t>기타시설</t>
  </si>
  <si>
    <t>구 분</t>
    <phoneticPr fontId="2" type="noConversion"/>
  </si>
  <si>
    <t>■ 주교통수단별 통행분담율 예측</t>
    <phoneticPr fontId="2" type="noConversion"/>
  </si>
  <si>
    <t>pp-78</t>
    <phoneticPr fontId="2" type="noConversion"/>
  </si>
  <si>
    <t>(단위 : %)</t>
    <phoneticPr fontId="2" type="noConversion"/>
  </si>
  <si>
    <t>재차인원</t>
  </si>
  <si>
    <t>■ 유사시설 차량당 평균재차인원</t>
    <phoneticPr fontId="2" type="noConversion"/>
  </si>
  <si>
    <t>(단위 : 인/대)</t>
    <phoneticPr fontId="2" type="noConversion"/>
  </si>
  <si>
    <t>노선버스</t>
    <phoneticPr fontId="2" type="noConversion"/>
  </si>
  <si>
    <t>비노선버스</t>
    <phoneticPr fontId="2" type="noConversion"/>
  </si>
  <si>
    <t>수도권 기초자료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</si>
  <si>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</si>
  <si>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</si>
  <si>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</si>
  <si>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도보 및 기타</t>
    <phoneticPr fontId="2" type="noConversion"/>
  </si>
  <si>
    <t>계</t>
    <phoneticPr fontId="2" type="noConversion"/>
  </si>
  <si>
    <t>상근인구</t>
    <phoneticPr fontId="2" type="noConversion"/>
  </si>
  <si>
    <t>이용인구</t>
    <phoneticPr fontId="2" type="noConversion"/>
  </si>
  <si>
    <t>2025년</t>
    <phoneticPr fontId="2" type="noConversion"/>
  </si>
  <si>
    <t>복합
용지
시설</t>
    <phoneticPr fontId="2" type="noConversion"/>
  </si>
  <si>
    <r>
      <t>주차장</t>
    </r>
    <r>
      <rPr>
        <b/>
        <sz val="10"/>
        <color rgb="FF000000"/>
        <rFont val="맑은 고딕"/>
        <family val="3"/>
        <charset val="129"/>
        <scheme val="minor"/>
      </rPr>
      <t>(</t>
    </r>
    <r>
      <rPr>
        <b/>
        <sz val="10"/>
        <color rgb="FF000000"/>
        <rFont val="휴먼고딕"/>
        <charset val="129"/>
      </rPr>
      <t>근린생활시설</t>
    </r>
    <r>
      <rPr>
        <b/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</si>
  <si>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2029년</t>
    <phoneticPr fontId="2" type="noConversion"/>
  </si>
  <si>
    <t>수단별 통행량(2025년)</t>
    <phoneticPr fontId="2" type="noConversion"/>
  </si>
  <si>
    <t>구역이 1개이므로, 교통영향평가에서 
산출한 통행량 사용</t>
    <phoneticPr fontId="2" type="noConversion"/>
  </si>
  <si>
    <t>pp-70</t>
    <phoneticPr fontId="2" type="noConversion"/>
  </si>
  <si>
    <t>(단위 : 인/일)</t>
    <phoneticPr fontId="2" type="noConversion"/>
  </si>
  <si>
    <t>pp-80</t>
    <phoneticPr fontId="2" type="noConversion"/>
  </si>
  <si>
    <t>질문사항</t>
    <phoneticPr fontId="2" type="noConversion"/>
  </si>
  <si>
    <t>수단별 통행량(2029년)</t>
    <phoneticPr fontId="2" type="noConversion"/>
  </si>
  <si>
    <t>블록 면적의 합</t>
    <phoneticPr fontId="2" type="noConversion"/>
  </si>
  <si>
    <t>A1</t>
    <phoneticPr fontId="2" type="noConversion"/>
  </si>
  <si>
    <t>A2</t>
    <phoneticPr fontId="2" type="noConversion"/>
  </si>
  <si>
    <t>H1</t>
    <phoneticPr fontId="2" type="noConversion"/>
  </si>
  <si>
    <t>H2</t>
    <phoneticPr fontId="2" type="noConversion"/>
  </si>
  <si>
    <t>방문</t>
  </si>
  <si>
    <t>인구</t>
  </si>
  <si>
    <t>상근</t>
  </si>
  <si>
    <t>이용</t>
  </si>
  <si>
    <r>
      <t>2023</t>
    </r>
    <r>
      <rPr>
        <sz val="10"/>
        <color rgb="FF000000"/>
        <rFont val="가는둥근제목체"/>
        <family val="3"/>
        <charset val="129"/>
      </rPr>
      <t>년</t>
    </r>
  </si>
  <si>
    <t>주택</t>
  </si>
  <si>
    <t>건설</t>
  </si>
  <si>
    <t>단독</t>
  </si>
  <si>
    <t>소계</t>
  </si>
  <si>
    <t>일반</t>
  </si>
  <si>
    <t>공동</t>
  </si>
  <si>
    <t>아파트</t>
  </si>
  <si>
    <r>
      <t>60</t>
    </r>
    <r>
      <rPr>
        <sz val="10"/>
        <color rgb="FF000000"/>
        <rFont val="가는둥근제목체"/>
        <family val="3"/>
        <charset val="129"/>
      </rPr>
      <t>㎡이하</t>
    </r>
  </si>
  <si>
    <r>
      <t>60</t>
    </r>
    <r>
      <rPr>
        <sz val="10"/>
        <color rgb="FF000000"/>
        <rFont val="가는둥근제목체"/>
        <family val="3"/>
        <charset val="129"/>
      </rPr>
      <t>㎡∼</t>
    </r>
    <r>
      <rPr>
        <sz val="10"/>
        <color rgb="FF000000"/>
        <rFont val="맑은 고딕"/>
        <family val="3"/>
        <charset val="129"/>
        <scheme val="minor"/>
      </rPr>
      <t>85</t>
    </r>
    <r>
      <rPr>
        <sz val="10"/>
        <color rgb="FF000000"/>
        <rFont val="가는둥근제목체"/>
        <family val="3"/>
        <charset val="129"/>
      </rPr>
      <t>㎡</t>
    </r>
  </si>
  <si>
    <t>주상</t>
  </si>
  <si>
    <r>
      <t>85</t>
    </r>
    <r>
      <rPr>
        <sz val="10"/>
        <color rgb="FF000000"/>
        <rFont val="가는둥근제목체"/>
        <family val="3"/>
        <charset val="129"/>
      </rPr>
      <t>㎡초과</t>
    </r>
  </si>
  <si>
    <t>공공</t>
  </si>
  <si>
    <t>상업업무시설</t>
  </si>
  <si>
    <t>교육시설</t>
  </si>
  <si>
    <t>공공청사</t>
  </si>
  <si>
    <t>종교시설</t>
  </si>
  <si>
    <t>복합커뮤니티시설</t>
  </si>
  <si>
    <r>
      <t>2027</t>
    </r>
    <r>
      <rPr>
        <sz val="10"/>
        <color rgb="FF000000"/>
        <rFont val="가는둥근제목체"/>
        <family val="3"/>
        <charset val="129"/>
      </rPr>
      <t>년</t>
    </r>
  </si>
  <si>
    <t>구 분</t>
    <phoneticPr fontId="2" type="noConversion"/>
  </si>
  <si>
    <t>&lt; 표 3- &gt; 장래 통행목적별 통행발생량 예측결과</t>
    <phoneticPr fontId="2" type="noConversion"/>
  </si>
  <si>
    <r>
      <t>목적통행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가는둥근제목체"/>
        <family val="3"/>
        <charset val="129"/>
      </rPr>
      <t>통행</t>
    </r>
    <r>
      <rPr>
        <sz val="10"/>
        <color rgb="FF000000"/>
        <rFont val="맑은 고딕"/>
        <family val="3"/>
        <charset val="129"/>
        <scheme val="minor"/>
      </rPr>
      <t>/</t>
    </r>
    <r>
      <rPr>
        <sz val="10"/>
        <color rgb="FF000000"/>
        <rFont val="가는둥근제목체"/>
        <family val="3"/>
        <charset val="129"/>
      </rPr>
      <t>일</t>
    </r>
    <r>
      <rPr>
        <sz val="10"/>
        <color rgb="FF000000"/>
        <rFont val="맑은 고딕"/>
        <family val="3"/>
        <charset val="129"/>
        <scheme val="minor"/>
      </rPr>
      <t>)</t>
    </r>
  </si>
  <si>
    <r>
      <t>구성 비율</t>
    </r>
    <r>
      <rPr>
        <sz val="10"/>
        <color rgb="FF000000"/>
        <rFont val="맑은 고딕"/>
        <family val="3"/>
        <charset val="129"/>
        <scheme val="minor"/>
      </rPr>
      <t>(%)</t>
    </r>
  </si>
  <si>
    <t>구분</t>
    <phoneticPr fontId="2" type="noConversion"/>
  </si>
  <si>
    <t>&lt; 표 3- &gt; 통행목적별 구성비</t>
    <phoneticPr fontId="2" type="noConversion"/>
  </si>
  <si>
    <t>주거</t>
  </si>
  <si>
    <t>상주</t>
  </si>
  <si>
    <t>근린</t>
  </si>
  <si>
    <t>생활</t>
  </si>
  <si>
    <t>(단위 : 통행/일)</t>
    <phoneticPr fontId="2" type="noConversion"/>
  </si>
  <si>
    <t>&lt; 표 3- &gt; 장래 수단분담률 예측결과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</si>
  <si>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</si>
  <si>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</si>
  <si>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</si>
  <si>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아파트</t>
    <phoneticPr fontId="2" type="noConversion"/>
  </si>
  <si>
    <t>주상복합</t>
    <phoneticPr fontId="2" type="noConversion"/>
  </si>
  <si>
    <t>단독주택</t>
    <phoneticPr fontId="2" type="noConversion"/>
  </si>
  <si>
    <t>단독 or 공동</t>
    <phoneticPr fontId="2" type="noConversion"/>
  </si>
  <si>
    <t>근린생활시설</t>
    <phoneticPr fontId="2" type="noConversion"/>
  </si>
  <si>
    <t>주거용지</t>
    <phoneticPr fontId="2" type="noConversion"/>
  </si>
  <si>
    <t>방문인구</t>
    <phoneticPr fontId="2" type="noConversion"/>
  </si>
  <si>
    <t>상주인구</t>
    <phoneticPr fontId="2" type="noConversion"/>
  </si>
  <si>
    <t>이용인구</t>
    <phoneticPr fontId="2" type="noConversion"/>
  </si>
  <si>
    <t>2027년 수단별 통행량</t>
    <phoneticPr fontId="2" type="noConversion"/>
  </si>
  <si>
    <t>&lt; 표 3- &gt; 차종별 평균 재차인원</t>
    <phoneticPr fontId="2" type="noConversion"/>
  </si>
  <si>
    <t>2023년 수단별 통행량</t>
    <phoneticPr fontId="2" type="noConversion"/>
  </si>
  <si>
    <t>승용차</t>
    <phoneticPr fontId="2" type="noConversion"/>
  </si>
  <si>
    <t>택시</t>
    <phoneticPr fontId="2" type="noConversion"/>
  </si>
  <si>
    <t>2023년 수단별 통행량(수단 계)</t>
    <phoneticPr fontId="2" type="noConversion"/>
  </si>
  <si>
    <t>2027년 수단별 통행량(수단 계)</t>
    <phoneticPr fontId="2" type="noConversion"/>
  </si>
  <si>
    <t>2023년 수단별 통행량 (대/일)</t>
    <phoneticPr fontId="2" type="noConversion"/>
  </si>
  <si>
    <t>2027년 수단별 통행량(대/일)</t>
    <phoneticPr fontId="2" type="noConversion"/>
  </si>
  <si>
    <t>세대수,</t>
  </si>
  <si>
    <t>2025년</t>
  </si>
  <si>
    <t>2029년</t>
  </si>
  <si>
    <t>(세대, ㎡)</t>
  </si>
  <si>
    <t>■ 장래 목표연도 1일 총 통행량 예측</t>
    <phoneticPr fontId="2" type="noConversion"/>
  </si>
  <si>
    <t>통행 발생량 + 통행 도착량</t>
    <phoneticPr fontId="2" type="noConversion"/>
  </si>
  <si>
    <t>2로 나눠야됨</t>
    <phoneticPr fontId="2" type="noConversion"/>
  </si>
  <si>
    <t>구분</t>
    <phoneticPr fontId="2" type="noConversion"/>
  </si>
  <si>
    <t>통행량</t>
    <phoneticPr fontId="2" type="noConversion"/>
  </si>
  <si>
    <t>단독주택</t>
    <phoneticPr fontId="2" type="noConversion"/>
  </si>
  <si>
    <t>지식기반시설</t>
    <phoneticPr fontId="2" type="noConversion"/>
  </si>
  <si>
    <t>연구시설</t>
    <phoneticPr fontId="2" type="noConversion"/>
  </si>
  <si>
    <t>첨단제조시설</t>
    <phoneticPr fontId="2" type="noConversion"/>
  </si>
  <si>
    <t>지원시설</t>
    <phoneticPr fontId="2" type="noConversion"/>
  </si>
  <si>
    <t>주차장(근린생활시설)</t>
    <phoneticPr fontId="2" type="noConversion"/>
  </si>
  <si>
    <t>수단별 통행량(2025년) , 대/일</t>
    <phoneticPr fontId="2" type="noConversion"/>
  </si>
  <si>
    <t>수단별 발생량(2029년), 대/일</t>
    <phoneticPr fontId="2" type="noConversion"/>
  </si>
  <si>
    <t>버스</t>
    <phoneticPr fontId="2" type="noConversion"/>
  </si>
  <si>
    <t>버스</t>
    <phoneticPr fontId="2" type="noConversion"/>
  </si>
  <si>
    <t>A3</t>
  </si>
  <si>
    <t>A4</t>
  </si>
  <si>
    <t>A5</t>
  </si>
  <si>
    <t>A6</t>
  </si>
  <si>
    <t>A7</t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</si>
  <si>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</si>
  <si>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</si>
  <si>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</si>
  <si>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</si>
  <si>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F</t>
    <phoneticPr fontId="2" type="noConversion"/>
  </si>
  <si>
    <t>G</t>
    <phoneticPr fontId="2" type="noConversion"/>
  </si>
  <si>
    <t>아파트 60 이하</t>
    <phoneticPr fontId="2" type="noConversion"/>
  </si>
  <si>
    <t>B1</t>
    <phoneticPr fontId="2" type="noConversion"/>
  </si>
  <si>
    <t>B5</t>
  </si>
  <si>
    <t>B6</t>
  </si>
  <si>
    <t>아파트 60 이하 
+ 아파트 60-85</t>
    <phoneticPr fontId="2" type="noConversion"/>
  </si>
  <si>
    <t>아파트 60-85</t>
    <phoneticPr fontId="2" type="noConversion"/>
  </si>
  <si>
    <t>C1</t>
    <phoneticPr fontId="2" type="noConversion"/>
  </si>
  <si>
    <t>D1</t>
    <phoneticPr fontId="2" type="noConversion"/>
  </si>
  <si>
    <t>주상복합 60-85
+ 85 초과</t>
    <phoneticPr fontId="2" type="noConversion"/>
  </si>
  <si>
    <t>근린생활시설</t>
    <phoneticPr fontId="2" type="noConversion"/>
  </si>
  <si>
    <t>E1</t>
    <phoneticPr fontId="2" type="noConversion"/>
  </si>
  <si>
    <t>E2</t>
    <phoneticPr fontId="2" type="noConversion"/>
  </si>
  <si>
    <t>E3</t>
  </si>
  <si>
    <t>E4</t>
  </si>
  <si>
    <t>상업업무시설</t>
    <phoneticPr fontId="2" type="noConversion"/>
  </si>
  <si>
    <t>F1</t>
    <phoneticPr fontId="2" type="noConversion"/>
  </si>
  <si>
    <t>교육시설</t>
    <phoneticPr fontId="2" type="noConversion"/>
  </si>
  <si>
    <t>E</t>
    <phoneticPr fontId="2" type="noConversion"/>
  </si>
  <si>
    <t>G1</t>
    <phoneticPr fontId="2" type="noConversion"/>
  </si>
  <si>
    <t>공공청사</t>
    <phoneticPr fontId="2" type="noConversion"/>
  </si>
  <si>
    <t>H1</t>
    <phoneticPr fontId="2" type="noConversion"/>
  </si>
  <si>
    <t>종교시설</t>
    <phoneticPr fontId="2" type="noConversion"/>
  </si>
  <si>
    <t>I1</t>
    <phoneticPr fontId="2" type="noConversion"/>
  </si>
  <si>
    <t>I2</t>
  </si>
  <si>
    <t>복합커뮤니티시설</t>
    <phoneticPr fontId="2" type="noConversion"/>
  </si>
  <si>
    <t>J1</t>
    <phoneticPr fontId="2" type="noConversion"/>
  </si>
  <si>
    <t>도시지원시설</t>
    <phoneticPr fontId="2" type="noConversion"/>
  </si>
  <si>
    <t>K1</t>
    <phoneticPr fontId="2" type="noConversion"/>
  </si>
  <si>
    <t>K2</t>
  </si>
  <si>
    <t>Z:\02_Completed_Works\2021W12-킨텍스교차로개선사업-211026\2021W12-99-Reference\관련_계획\2020.씨제이라이브시티 복합개발사업 T부지(T1,T2) 교통영향평가(약식)(변경심의)(동림피엔디) (1)</t>
    <phoneticPr fontId="2" type="noConversion"/>
  </si>
  <si>
    <t>씨제이라이브시티 복합개발사업 T부지(T1,T2) 교통영향평가(약식)(변경심의)-5장.hwp</t>
  </si>
  <si>
    <t>pp-246</t>
    <phoneticPr fontId="2" type="noConversion"/>
  </si>
  <si>
    <t>pp-261</t>
    <phoneticPr fontId="2" type="noConversion"/>
  </si>
  <si>
    <t>지하철</t>
  </si>
  <si>
    <t xml:space="preserve">유입 </t>
  </si>
  <si>
    <t xml:space="preserve">계 </t>
  </si>
  <si>
    <t xml:space="preserve">❏ 문화 및 집회시설(아레나)(T2부지)
</t>
    <phoneticPr fontId="2" type="noConversion"/>
  </si>
  <si>
    <t xml:space="preserve">❏ 방송시설(스튜디오), 판매시설, 위락시설(테마파크)(T2부지)
</t>
    <phoneticPr fontId="2" type="noConversion"/>
  </si>
  <si>
    <t>&lt;표 5-3-32&gt; 장래 교통수단별 시간대별 통행량 분포 예측 결과(2024년 평일)</t>
    <phoneticPr fontId="2" type="noConversion"/>
  </si>
  <si>
    <r>
      <t>❏ 방송시설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방송통신시설</t>
    </r>
    <r>
      <rPr>
        <sz val="10"/>
        <color rgb="FF000000"/>
        <rFont val="맑은 고딕"/>
        <family val="3"/>
        <charset val="129"/>
        <scheme val="minor"/>
      </rPr>
      <t xml:space="preserve">), </t>
    </r>
    <r>
      <rPr>
        <sz val="10"/>
        <color rgb="FF000000"/>
        <rFont val="08서울남산체 B"/>
        <family val="3"/>
        <charset val="129"/>
      </rPr>
      <t>판매시설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08서울남산체 B"/>
        <family val="3"/>
        <charset val="129"/>
      </rPr>
      <t>위락시설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테마파크</t>
    </r>
    <r>
      <rPr>
        <sz val="10"/>
        <color rgb="FF000000"/>
        <rFont val="맑은 고딕"/>
        <family val="3"/>
        <charset val="129"/>
        <scheme val="minor"/>
      </rPr>
      <t>)(T1</t>
    </r>
    <r>
      <rPr>
        <sz val="10"/>
        <color rgb="FF000000"/>
        <rFont val="08서울남산체 B"/>
        <family val="3"/>
        <charset val="129"/>
      </rPr>
      <t>부지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</si>
  <si>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r>
      <t xml:space="preserve">❏ </t>
    </r>
    <r>
      <rPr>
        <sz val="11"/>
        <color rgb="FF000000"/>
        <rFont val="맑은 고딕"/>
        <family val="3"/>
        <charset val="129"/>
        <scheme val="minor"/>
      </rPr>
      <t>T2</t>
    </r>
    <r>
      <rPr>
        <sz val="11"/>
        <color rgb="FF000000"/>
        <rFont val="08서울남산체 B"/>
        <family val="3"/>
        <charset val="129"/>
      </rPr>
      <t>부지 종합</t>
    </r>
    <r>
      <rPr>
        <sz val="11"/>
        <color rgb="FF000000"/>
        <rFont val="맑은 고딕"/>
        <family val="3"/>
        <charset val="129"/>
        <scheme val="minor"/>
      </rPr>
      <t>(</t>
    </r>
    <r>
      <rPr>
        <sz val="11"/>
        <color rgb="FF000000"/>
        <rFont val="08서울남산체 B"/>
        <family val="3"/>
        <charset val="129"/>
      </rPr>
      <t>문화 및 집회시설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방송시설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판매시설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위락시설</t>
    </r>
    <r>
      <rPr>
        <sz val="11"/>
        <color rgb="FF000000"/>
        <rFont val="맑은 고딕"/>
        <family val="3"/>
        <charset val="129"/>
        <scheme val="minor"/>
      </rPr>
      <t>)</t>
    </r>
    <phoneticPr fontId="2" type="noConversion"/>
  </si>
  <si>
    <t>통행/일</t>
    <phoneticPr fontId="2" type="noConversion"/>
  </si>
  <si>
    <t>&lt;표 5-3-35&gt; 장래 시간대별 발생교통량 예측(2024년 평일)</t>
    <phoneticPr fontId="2" type="noConversion"/>
  </si>
  <si>
    <t>평일</t>
  </si>
  <si>
    <t>문화 및 집회시설</t>
  </si>
  <si>
    <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</si>
  <si>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</si>
  <si>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</si>
  <si>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t>위락시설</t>
  </si>
  <si>
    <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</si>
  <si>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t>휴일</t>
  </si>
  <si>
    <t>구 분</t>
    <phoneticPr fontId="2" type="noConversion"/>
  </si>
  <si>
    <t>&lt;표 5-3-34&gt; 차종별 평균재차인원 산정</t>
    <phoneticPr fontId="2" type="noConversion"/>
  </si>
  <si>
    <t>노선버스</t>
    <phoneticPr fontId="2" type="noConversion"/>
  </si>
  <si>
    <t>비노선버스</t>
    <phoneticPr fontId="2" type="noConversion"/>
  </si>
  <si>
    <t>비노선버스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</si>
  <si>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</si>
  <si>
    <t>seoul</t>
  </si>
  <si>
    <t>goyang</t>
  </si>
  <si>
    <t>gyeonggi</t>
  </si>
  <si>
    <t>incheon</t>
  </si>
  <si>
    <t>etc</t>
  </si>
  <si>
    <t>통행 발생량 = 통행 도착량</t>
    <phoneticPr fontId="2" type="noConversion"/>
  </si>
  <si>
    <t>복합
용지
시설</t>
  </si>
  <si>
    <t>구분</t>
    <phoneticPr fontId="35" type="noConversion"/>
  </si>
  <si>
    <t>도보</t>
    <phoneticPr fontId="35" type="noConversion"/>
  </si>
  <si>
    <t>승용차</t>
    <phoneticPr fontId="35" type="noConversion"/>
  </si>
  <si>
    <t>버스</t>
    <phoneticPr fontId="35" type="noConversion"/>
  </si>
  <si>
    <t>전철/철도</t>
    <phoneticPr fontId="35" type="noConversion"/>
  </si>
  <si>
    <t>화물차</t>
    <phoneticPr fontId="35" type="noConversion"/>
  </si>
  <si>
    <t>자전거</t>
    <phoneticPr fontId="35" type="noConversion"/>
  </si>
  <si>
    <t>기타</t>
    <phoneticPr fontId="35" type="noConversion"/>
  </si>
  <si>
    <t>합계</t>
    <phoneticPr fontId="35" type="noConversion"/>
  </si>
  <si>
    <t>시내버스</t>
    <phoneticPr fontId="35" type="noConversion"/>
  </si>
  <si>
    <t>광역버스</t>
    <phoneticPr fontId="35" type="noConversion"/>
  </si>
  <si>
    <t>마을버스</t>
    <phoneticPr fontId="35" type="noConversion"/>
  </si>
  <si>
    <t>시외/고속버스</t>
    <phoneticPr fontId="35" type="noConversion"/>
  </si>
  <si>
    <t>기타버스</t>
    <phoneticPr fontId="35" type="noConversion"/>
  </si>
  <si>
    <t>지하철/전철</t>
    <phoneticPr fontId="35" type="noConversion"/>
  </si>
  <si>
    <t>(고속)철도</t>
  </si>
  <si>
    <t>지역내</t>
    <phoneticPr fontId="35" type="noConversion"/>
  </si>
  <si>
    <t>지역-경기</t>
    <phoneticPr fontId="35" type="noConversion"/>
  </si>
  <si>
    <t>지역-서울</t>
    <phoneticPr fontId="35" type="noConversion"/>
  </si>
  <si>
    <t>지역-인천</t>
    <phoneticPr fontId="35" type="noConversion"/>
  </si>
  <si>
    <t>지역-외곽</t>
    <phoneticPr fontId="35" type="noConversion"/>
  </si>
  <si>
    <t>합계</t>
    <phoneticPr fontId="35" type="noConversion"/>
  </si>
  <si>
    <t>goyang</t>
    <phoneticPr fontId="2" type="noConversion"/>
  </si>
  <si>
    <t>total</t>
  </si>
  <si>
    <t>total</t>
    <phoneticPr fontId="2" type="noConversion"/>
  </si>
  <si>
    <t>Trip Production ratio</t>
    <phoneticPr fontId="2" type="noConversion"/>
  </si>
  <si>
    <t>Trip Attraction ratio</t>
    <phoneticPr fontId="2" type="noConversion"/>
  </si>
  <si>
    <t>total</t>
    <phoneticPr fontId="2" type="noConversion"/>
  </si>
  <si>
    <t>통행분포</t>
    <phoneticPr fontId="2" type="noConversion"/>
  </si>
  <si>
    <t>지역-서울</t>
  </si>
  <si>
    <t>지역-경기</t>
  </si>
  <si>
    <t>지역-인천</t>
  </si>
  <si>
    <t>지역-외곽</t>
  </si>
  <si>
    <t>지역내</t>
  </si>
  <si>
    <t>Trip Prodcution</t>
    <phoneticPr fontId="2" type="noConversion"/>
  </si>
  <si>
    <t>Trip Attration</t>
    <phoneticPr fontId="2" type="noConversion"/>
  </si>
  <si>
    <t>지역-경기</t>
    <phoneticPr fontId="2" type="noConversion"/>
  </si>
  <si>
    <t>Modal Split</t>
    <phoneticPr fontId="2" type="noConversion"/>
  </si>
  <si>
    <t>도보</t>
  </si>
  <si>
    <t>화물차</t>
  </si>
  <si>
    <t>자전거</t>
  </si>
  <si>
    <t>시내버스</t>
  </si>
  <si>
    <t>광역버스</t>
  </si>
  <si>
    <t>마을버스</t>
  </si>
  <si>
    <t>시외/고속버스</t>
  </si>
  <si>
    <t>기타버스</t>
  </si>
  <si>
    <t>지하철/전철</t>
  </si>
  <si>
    <t>주차장(근린생활시설)</t>
  </si>
  <si>
    <t>수단선택</t>
    <phoneticPr fontId="2" type="noConversion"/>
  </si>
  <si>
    <t>판매시설</t>
    <phoneticPr fontId="2" type="noConversion"/>
  </si>
  <si>
    <t>복합판매시설</t>
    <phoneticPr fontId="2" type="noConversion"/>
  </si>
  <si>
    <t>복합판매시설</t>
    <phoneticPr fontId="2" type="noConversion"/>
  </si>
  <si>
    <t>복합근린생활시설</t>
    <phoneticPr fontId="2" type="noConversion"/>
  </si>
  <si>
    <t>검토중!!!</t>
    <phoneticPr fontId="2" type="noConversion"/>
  </si>
  <si>
    <t>전철/철도</t>
  </si>
  <si>
    <t>복합판매시설</t>
  </si>
  <si>
    <t>복합근린생활시설</t>
  </si>
  <si>
    <t>복합</t>
    <phoneticPr fontId="2" type="noConversion"/>
  </si>
  <si>
    <t>재차인원적용</t>
    <phoneticPr fontId="2" type="noConversion"/>
  </si>
  <si>
    <t>경</t>
  </si>
  <si>
    <t>기</t>
  </si>
  <si>
    <t>도</t>
  </si>
  <si>
    <t>수시</t>
  </si>
  <si>
    <t>성남시</t>
  </si>
  <si>
    <t>의정부시</t>
  </si>
  <si>
    <t>안양시</t>
  </si>
  <si>
    <t>부천시</t>
  </si>
  <si>
    <t>광명시</t>
  </si>
  <si>
    <t>평택시</t>
  </si>
  <si>
    <t>동두천시</t>
  </si>
  <si>
    <t>안산시</t>
  </si>
  <si>
    <t>고양시</t>
  </si>
  <si>
    <t>과천시</t>
  </si>
  <si>
    <t>구리시</t>
  </si>
  <si>
    <t>남양주시</t>
  </si>
  <si>
    <t>오산시</t>
  </si>
  <si>
    <t>시흥시</t>
  </si>
  <si>
    <t>군포시</t>
  </si>
  <si>
    <t>의왕시</t>
  </si>
  <si>
    <t>하남시</t>
  </si>
  <si>
    <t>용인시</t>
  </si>
  <si>
    <t>파주시</t>
  </si>
  <si>
    <t>이천시</t>
  </si>
  <si>
    <t>안성시</t>
  </si>
  <si>
    <t>김포시</t>
  </si>
  <si>
    <t>화성시</t>
  </si>
  <si>
    <t>광주시</t>
  </si>
  <si>
    <t>양주시</t>
  </si>
  <si>
    <t>포천시</t>
  </si>
  <si>
    <t>여주군</t>
  </si>
  <si>
    <t>연천군</t>
  </si>
  <si>
    <t>가평군</t>
  </si>
  <si>
    <t>양평군</t>
  </si>
  <si>
    <t>출발 권역구분</t>
  </si>
  <si>
    <t>도착지 구분</t>
  </si>
  <si>
    <t>서울</t>
  </si>
  <si>
    <t>인천</t>
  </si>
  <si>
    <t>경기</t>
  </si>
  <si>
    <t>수도권외</t>
  </si>
  <si>
    <t>권역내부</t>
  </si>
  <si>
    <t>승용차 재차인원</t>
    <phoneticPr fontId="2" type="noConversion"/>
  </si>
  <si>
    <t>경기도</t>
  </si>
  <si>
    <t>비노선버스</t>
  </si>
  <si>
    <t>서울특별시</t>
  </si>
  <si>
    <t>부산광역시</t>
  </si>
  <si>
    <t>대구광역시</t>
  </si>
  <si>
    <t>인천광역시</t>
  </si>
  <si>
    <t>광주광역시</t>
  </si>
  <si>
    <t>대전광역시</t>
  </si>
  <si>
    <t>울산광역시</t>
  </si>
  <si>
    <t>강원도</t>
  </si>
  <si>
    <t>충청북도</t>
  </si>
  <si>
    <t>충청남도</t>
  </si>
  <si>
    <t>전라북도</t>
  </si>
  <si>
    <t>전라남도</t>
  </si>
  <si>
    <t>경상북도</t>
  </si>
  <si>
    <t>경상남도</t>
  </si>
  <si>
    <t>제주특별자치도</t>
  </si>
  <si>
    <t>버스/택시 재차인원</t>
    <phoneticPr fontId="2" type="noConversion"/>
  </si>
  <si>
    <t>지역내</t>
    <phoneticPr fontId="2" type="noConversion"/>
  </si>
  <si>
    <t>지역-서울</t>
    <phoneticPr fontId="2" type="noConversion"/>
  </si>
  <si>
    <t>지역-서울</t>
    <phoneticPr fontId="2" type="noConversion"/>
  </si>
  <si>
    <t>지역-인천</t>
    <phoneticPr fontId="2" type="noConversion"/>
  </si>
  <si>
    <t>지역-경기</t>
    <phoneticPr fontId="2" type="noConversion"/>
  </si>
  <si>
    <t>지역-외곽</t>
    <phoneticPr fontId="2" type="noConversion"/>
  </si>
  <si>
    <t>지역내</t>
    <phoneticPr fontId="2" type="noConversion"/>
  </si>
  <si>
    <t>대</t>
    <phoneticPr fontId="2" type="noConversion"/>
  </si>
  <si>
    <t>2020년_수도권OD및네트워크설명자료</t>
    <phoneticPr fontId="2" type="noConversion"/>
  </si>
  <si>
    <t>용도시설별 면적비율</t>
  </si>
  <si>
    <t>용도시설별 면적비율</t>
    <phoneticPr fontId="2" type="noConversion"/>
  </si>
  <si>
    <t>용도시설</t>
  </si>
  <si>
    <t>ID</t>
  </si>
  <si>
    <t>면적</t>
  </si>
  <si>
    <t>A1</t>
  </si>
  <si>
    <t>B1</t>
  </si>
  <si>
    <t>C1</t>
  </si>
  <si>
    <t>D1</t>
  </si>
  <si>
    <t>D2</t>
  </si>
  <si>
    <t>D3</t>
  </si>
  <si>
    <t>D4</t>
  </si>
  <si>
    <t>D5</t>
  </si>
  <si>
    <t>E1</t>
  </si>
  <si>
    <t>E2</t>
  </si>
  <si>
    <t>F1</t>
  </si>
  <si>
    <t>복합지원</t>
  </si>
  <si>
    <t>G1</t>
  </si>
  <si>
    <t>G2</t>
  </si>
  <si>
    <t>G3</t>
  </si>
  <si>
    <t>H1</t>
  </si>
  <si>
    <t>H2</t>
  </si>
  <si>
    <t>I1</t>
  </si>
  <si>
    <t>승용차+택시</t>
    <phoneticPr fontId="2" type="noConversion"/>
  </si>
  <si>
    <t>승용차+택시</t>
    <phoneticPr fontId="2" type="noConversion"/>
  </si>
  <si>
    <t>비노선버스</t>
    <phoneticPr fontId="2" type="noConversion"/>
  </si>
  <si>
    <t>요약</t>
    <phoneticPr fontId="2" type="noConversion"/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</si>
  <si>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</si>
  <si>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</si>
  <si>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</si>
  <si>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연구시설</t>
    <phoneticPr fontId="2" type="noConversion"/>
  </si>
  <si>
    <t>첨단제조시설</t>
    <phoneticPr fontId="2" type="noConversion"/>
  </si>
  <si>
    <t>지식기반시설</t>
    <phoneticPr fontId="2" type="noConversion"/>
  </si>
  <si>
    <t>지원시설</t>
    <phoneticPr fontId="2" type="noConversion"/>
  </si>
  <si>
    <t>복합지원</t>
    <phoneticPr fontId="2" type="noConversion"/>
  </si>
  <si>
    <t>존 번호</t>
    <phoneticPr fontId="2" type="noConversion"/>
  </si>
  <si>
    <t>존 번호</t>
    <phoneticPr fontId="2" type="noConversion"/>
  </si>
  <si>
    <t>대/일</t>
    <phoneticPr fontId="2" type="noConversion"/>
  </si>
  <si>
    <t>대/일</t>
    <phoneticPr fontId="2" type="noConversion"/>
  </si>
  <si>
    <t>순유입인구비율</t>
    <phoneticPr fontId="2" type="noConversion"/>
  </si>
  <si>
    <t>도시개발사업</t>
    <phoneticPr fontId="2" type="noConversion"/>
  </si>
  <si>
    <t>소수점차이 인듯</t>
    <phoneticPr fontId="2" type="noConversion"/>
  </si>
  <si>
    <t>비노선버스</t>
    <phoneticPr fontId="2" type="noConversion"/>
  </si>
  <si>
    <t>주상복합</t>
  </si>
  <si>
    <t>M1</t>
  </si>
  <si>
    <t>M2</t>
  </si>
  <si>
    <t>M3</t>
  </si>
  <si>
    <t>M4</t>
  </si>
  <si>
    <t>A2</t>
  </si>
  <si>
    <t>근린생활시설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</si>
  <si>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</si>
  <si>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</si>
  <si>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</si>
  <si>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</si>
  <si>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</si>
  <si>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</si>
  <si>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</si>
  <si>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</si>
  <si>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</si>
  <si>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</si>
  <si>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주상복합( 상업포함)</t>
  </si>
  <si>
    <t>주상복합( 상업포함)</t>
    <phoneticPr fontId="2" type="noConversion"/>
  </si>
  <si>
    <t>지역-경기</t>
    <phoneticPr fontId="2" type="noConversion"/>
  </si>
  <si>
    <t>Modal Split</t>
    <phoneticPr fontId="2" type="noConversion"/>
  </si>
  <si>
    <t>재차인원적용</t>
    <phoneticPr fontId="2" type="noConversion"/>
  </si>
  <si>
    <t>통행분포</t>
    <phoneticPr fontId="2" type="noConversion"/>
  </si>
  <si>
    <t>수단선택</t>
    <phoneticPr fontId="2" type="noConversion"/>
  </si>
  <si>
    <t>지역-서울</t>
    <phoneticPr fontId="2" type="noConversion"/>
  </si>
  <si>
    <t>지역내</t>
    <phoneticPr fontId="2" type="noConversion"/>
  </si>
  <si>
    <t>요약</t>
    <phoneticPr fontId="2" type="noConversion"/>
  </si>
  <si>
    <t>대/일</t>
    <phoneticPr fontId="2" type="noConversion"/>
  </si>
  <si>
    <t>비노선버스</t>
    <phoneticPr fontId="2" type="noConversion"/>
  </si>
  <si>
    <t>승용차+택시</t>
    <phoneticPr fontId="2" type="noConversion"/>
  </si>
  <si>
    <t>존 번호</t>
    <phoneticPr fontId="2" type="noConversion"/>
  </si>
  <si>
    <t>주상복합( 상업포함)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</si>
  <si>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</si>
  <si>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</si>
  <si>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</si>
  <si>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</si>
  <si>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Trip Attraction</t>
    <phoneticPr fontId="2" type="noConversion"/>
  </si>
  <si>
    <t>A1</t>
    <phoneticPr fontId="2" type="noConversion"/>
  </si>
  <si>
    <t>단독주택</t>
    <phoneticPr fontId="2" type="noConversion"/>
  </si>
  <si>
    <t>아파트 60 이하</t>
    <phoneticPr fontId="2" type="noConversion"/>
  </si>
  <si>
    <t>근린생활시설</t>
    <phoneticPr fontId="2" type="noConversion"/>
  </si>
  <si>
    <t>상업업무시설</t>
    <phoneticPr fontId="2" type="noConversion"/>
  </si>
  <si>
    <t>상업업무시설</t>
    <phoneticPr fontId="2" type="noConversion"/>
  </si>
  <si>
    <t>G2</t>
    <phoneticPr fontId="2" type="noConversion"/>
  </si>
  <si>
    <t>종교시설</t>
    <phoneticPr fontId="2" type="noConversion"/>
  </si>
  <si>
    <t>I1</t>
    <phoneticPr fontId="2" type="noConversion"/>
  </si>
  <si>
    <t>K1</t>
    <phoneticPr fontId="2" type="noConversion"/>
  </si>
  <si>
    <t>도시지원시설</t>
    <phoneticPr fontId="2" type="noConversion"/>
  </si>
  <si>
    <t>아파트 60-85</t>
    <phoneticPr fontId="2" type="noConversion"/>
  </si>
  <si>
    <t>근린생활시설</t>
    <phoneticPr fontId="2" type="noConversion"/>
  </si>
  <si>
    <t>교육시설</t>
    <phoneticPr fontId="2" type="noConversion"/>
  </si>
  <si>
    <t>단독주택</t>
    <phoneticPr fontId="2" type="noConversion"/>
  </si>
  <si>
    <t>아파트 60 이하</t>
    <phoneticPr fontId="2" type="noConversion"/>
  </si>
  <si>
    <t>아파트 60-85</t>
    <phoneticPr fontId="2" type="noConversion"/>
  </si>
  <si>
    <t>E2</t>
    <phoneticPr fontId="2" type="noConversion"/>
  </si>
  <si>
    <t>F1</t>
    <phoneticPr fontId="2" type="noConversion"/>
  </si>
  <si>
    <t>공공청사</t>
    <phoneticPr fontId="2" type="noConversion"/>
  </si>
  <si>
    <t>복합커뮤니티시설</t>
    <phoneticPr fontId="2" type="noConversion"/>
  </si>
  <si>
    <t>기준년도로 변경해야함!!</t>
    <phoneticPr fontId="2" type="noConversion"/>
  </si>
  <si>
    <t>&lt; 표 3- &gt; 장래 통행목적별 통행발생량 예측결과 (유입 + 유출)</t>
    <phoneticPr fontId="2" type="noConversion"/>
  </si>
  <si>
    <t>(통행/일)</t>
    <phoneticPr fontId="2" type="noConversion"/>
  </si>
  <si>
    <t>유출 or 유입</t>
    <phoneticPr fontId="2" type="noConversion"/>
  </si>
  <si>
    <t>아파트 60 이하</t>
  </si>
  <si>
    <t>아파트 60 이하 
+ 아파트 60-85</t>
    <phoneticPr fontId="2" type="noConversion"/>
  </si>
  <si>
    <t>아파트 60-85</t>
  </si>
  <si>
    <t>주상복합 60-85
+ 85 초과</t>
  </si>
  <si>
    <t>주상복합 60-85</t>
  </si>
  <si>
    <t>주상복합 60-85
+ 85 초과</t>
    <phoneticPr fontId="2" type="noConversion"/>
  </si>
  <si>
    <t>주상복합 85 초과</t>
  </si>
  <si>
    <t>주상복합 85 초과</t>
    <phoneticPr fontId="2" type="noConversion"/>
  </si>
  <si>
    <t>복합커뮤니티시설</t>
    <phoneticPr fontId="2" type="noConversion"/>
  </si>
  <si>
    <t>총 계</t>
    <phoneticPr fontId="2" type="noConversion"/>
  </si>
  <si>
    <t>총 계</t>
    <phoneticPr fontId="2" type="noConversion"/>
  </si>
  <si>
    <t>지역-외곽</t>
    <phoneticPr fontId="2" type="noConversion"/>
  </si>
  <si>
    <t>J1</t>
  </si>
  <si>
    <t>K1</t>
  </si>
  <si>
    <t>아파트 60 이하</t>
    <phoneticPr fontId="2" type="noConversion"/>
  </si>
  <si>
    <t>B6</t>
    <phoneticPr fontId="2" type="noConversion"/>
  </si>
  <si>
    <r>
      <t>2024</t>
    </r>
    <r>
      <rPr>
        <sz val="10"/>
        <color rgb="FF000000"/>
        <rFont val="HY신명조"/>
        <family val="3"/>
        <charset val="129"/>
      </rPr>
      <t>년</t>
    </r>
  </si>
  <si>
    <r>
      <t>2028</t>
    </r>
    <r>
      <rPr>
        <sz val="10"/>
        <color rgb="FF000000"/>
        <rFont val="HY신명조"/>
        <family val="3"/>
        <charset val="129"/>
      </rPr>
      <t>년</t>
    </r>
  </si>
  <si>
    <t>pp-168</t>
    <phoneticPr fontId="2" type="noConversion"/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</si>
  <si>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</si>
  <si>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2024</t>
    </r>
    <r>
      <rPr>
        <b/>
        <sz val="9"/>
        <color rgb="FF000000"/>
        <rFont val="08서울남산체 B"/>
        <family val="3"/>
        <charset val="129"/>
      </rPr>
      <t>년 총 통행량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통행</t>
    </r>
    <r>
      <rPr>
        <b/>
        <sz val="9"/>
        <color rgb="FF000000"/>
        <rFont val="맑은 고딕"/>
        <family val="3"/>
        <charset val="129"/>
        <scheme val="minor"/>
      </rPr>
      <t>/</t>
    </r>
    <r>
      <rPr>
        <b/>
        <sz val="9"/>
        <color rgb="FF000000"/>
        <rFont val="08서울남산체 B"/>
        <family val="3"/>
        <charset val="129"/>
      </rPr>
      <t>일</t>
    </r>
    <r>
      <rPr>
        <b/>
        <sz val="9"/>
        <color rgb="FF000000"/>
        <rFont val="맑은 고딕"/>
        <family val="3"/>
        <charset val="129"/>
        <scheme val="minor"/>
      </rPr>
      <t xml:space="preserve">) 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</si>
  <si>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</si>
  <si>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위락시설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</si>
  <si>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r>
      <t>객석수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석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</si>
  <si>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),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</si>
  <si>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</si>
  <si>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t xml:space="preserve">판매시설 </t>
  </si>
  <si>
    <r>
      <t>문화 및 집회시설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</si>
  <si>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 xml:space="preserve">T2 </t>
    </r>
    <r>
      <rPr>
        <b/>
        <sz val="9"/>
        <color rgb="FF000000"/>
        <rFont val="08서울남산체 B"/>
        <family val="3"/>
        <charset val="129"/>
      </rPr>
      <t>합계</t>
    </r>
  </si>
  <si>
    <t xml:space="preserve">&lt;표 5-3-15&gt; 사업지 1일 총 활동인구 예측(T1부지)
</t>
    <phoneticPr fontId="2" type="noConversion"/>
  </si>
  <si>
    <t>&lt;표 5-3-21&gt; 장래 목표연도 1일 총 통행량 예측(T2부지 전체)</t>
    <phoneticPr fontId="2" type="noConversion"/>
  </si>
  <si>
    <t>구 분(평일)</t>
  </si>
  <si>
    <t>구 분(평일)</t>
    <phoneticPr fontId="2" type="noConversion"/>
  </si>
  <si>
    <t>T1</t>
  </si>
  <si>
    <t>T1</t>
    <phoneticPr fontId="2" type="noConversion"/>
  </si>
  <si>
    <t>T2</t>
  </si>
  <si>
    <t>T2</t>
    <phoneticPr fontId="2" type="noConversion"/>
  </si>
  <si>
    <t>구 분 (평일)</t>
  </si>
  <si>
    <t>구 분 (평일)</t>
    <phoneticPr fontId="2" type="noConversion"/>
  </si>
  <si>
    <t>방송시설(방송통신시설)</t>
  </si>
  <si>
    <t>위락시설(테마파크)</t>
  </si>
  <si>
    <t>방송시설(스튜디오)</t>
  </si>
  <si>
    <t>문화 및 집회시설(아레나)</t>
  </si>
  <si>
    <t>T1방송시설(방송통신시설)</t>
  </si>
  <si>
    <t>T1방송시설(방송통신시설)</t>
    <phoneticPr fontId="2" type="noConversion"/>
  </si>
  <si>
    <t>T1판매시설</t>
  </si>
  <si>
    <t>T1판매시설</t>
    <phoneticPr fontId="2" type="noConversion"/>
  </si>
  <si>
    <t>T1위락시설(테마파크)</t>
  </si>
  <si>
    <t>T1위락시설(테마파크)</t>
    <phoneticPr fontId="2" type="noConversion"/>
  </si>
  <si>
    <t xml:space="preserve">T2판매시설 </t>
  </si>
  <si>
    <t xml:space="preserve">T2판매시설 </t>
    <phoneticPr fontId="2" type="noConversion"/>
  </si>
  <si>
    <t>T2방송시설(스튜디오)</t>
  </si>
  <si>
    <t>T2방송시설(스튜디오)</t>
    <phoneticPr fontId="2" type="noConversion"/>
  </si>
  <si>
    <t>T2위락시설(테마파크)</t>
  </si>
  <si>
    <t>T2위락시설(테마파크)</t>
    <phoneticPr fontId="2" type="noConversion"/>
  </si>
  <si>
    <t>T2문화 및 집회시설(아레나)</t>
  </si>
  <si>
    <t>T2문화 및 집회시설(아레나)</t>
    <phoneticPr fontId="2" type="noConversion"/>
  </si>
  <si>
    <t>연면적(㎡)</t>
  </si>
  <si>
    <t xml:space="preserve">2024년 총 통행량(통행/일) </t>
  </si>
  <si>
    <t>연면적(㎡),</t>
  </si>
  <si>
    <t>객석수(석)</t>
  </si>
  <si>
    <t>존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</si>
  <si>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  <phoneticPr fontId="2" type="noConversion"/>
  </si>
  <si>
    <t>승용차</t>
    <phoneticPr fontId="2" type="noConversion"/>
  </si>
  <si>
    <t>유출</t>
    <phoneticPr fontId="2" type="noConversion"/>
  </si>
  <si>
    <t>택시</t>
    <phoneticPr fontId="2" type="noConversion"/>
  </si>
  <si>
    <t>유입</t>
    <phoneticPr fontId="2" type="noConversion"/>
  </si>
  <si>
    <t>유출</t>
    <phoneticPr fontId="2" type="noConversion"/>
  </si>
  <si>
    <t>지하철</t>
    <phoneticPr fontId="2" type="noConversion"/>
  </si>
  <si>
    <t>도보기타</t>
    <phoneticPr fontId="2" type="noConversion"/>
  </si>
  <si>
    <t>유입</t>
    <phoneticPr fontId="2" type="noConversion"/>
  </si>
  <si>
    <t>합계</t>
    <phoneticPr fontId="2" type="noConversion"/>
  </si>
  <si>
    <t>유출</t>
    <phoneticPr fontId="2" type="noConversion"/>
  </si>
  <si>
    <t>버스</t>
    <phoneticPr fontId="2" type="noConversion"/>
  </si>
  <si>
    <t>2015년</t>
    <phoneticPr fontId="2" type="noConversion"/>
  </si>
  <si>
    <t>2020년</t>
    <phoneticPr fontId="2" type="noConversion"/>
  </si>
  <si>
    <t>관광문화</t>
  </si>
  <si>
    <t>관광문화</t>
    <phoneticPr fontId="2" type="noConversion"/>
  </si>
  <si>
    <t>순유입인구비율적용</t>
    <phoneticPr fontId="2" type="noConversion"/>
  </si>
  <si>
    <t>pp-81 ~ 84</t>
    <phoneticPr fontId="2" type="noConversion"/>
  </si>
  <si>
    <t>대/일</t>
    <phoneticPr fontId="2" type="noConversion"/>
  </si>
  <si>
    <t>차종구분</t>
  </si>
  <si>
    <t>평균적재능력</t>
  </si>
  <si>
    <r>
      <t>(</t>
    </r>
    <r>
      <rPr>
        <b/>
        <sz val="10"/>
        <color rgb="FF000000"/>
        <rFont val="휴먼고딕"/>
        <charset val="129"/>
      </rPr>
      <t>톤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대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</si>
  <si>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공차운행율</t>
  </si>
  <si>
    <t>(%)</t>
  </si>
  <si>
    <t>평균적재율</t>
  </si>
  <si>
    <r>
      <t xml:space="preserve">수송분담율 </t>
    </r>
    <r>
      <rPr>
        <b/>
        <sz val="10"/>
        <color rgb="FF000000"/>
        <rFont val="맑은 고딕"/>
        <family val="3"/>
        <charset val="129"/>
        <scheme val="minor"/>
      </rPr>
      <t>(%)</t>
    </r>
  </si>
  <si>
    <r>
      <t>1.0</t>
    </r>
    <r>
      <rPr>
        <sz val="10"/>
        <color rgb="FF000000"/>
        <rFont val="휴먼고딕"/>
        <charset val="129"/>
      </rPr>
      <t>톤 미만</t>
    </r>
  </si>
  <si>
    <t>중형</t>
  </si>
  <si>
    <r>
      <t>1.0</t>
    </r>
    <r>
      <rPr>
        <sz val="10"/>
        <color rgb="FF000000"/>
        <rFont val="휴먼고딕"/>
        <charset val="129"/>
      </rPr>
      <t>톤 이상〜</t>
    </r>
  </si>
  <si>
    <r>
      <t>8.0</t>
    </r>
    <r>
      <rPr>
        <sz val="10"/>
        <color rgb="FF000000"/>
        <rFont val="휴먼고딕"/>
        <charset val="129"/>
      </rPr>
      <t>톤 미만</t>
    </r>
  </si>
  <si>
    <r>
      <t>8.0</t>
    </r>
    <r>
      <rPr>
        <sz val="10"/>
        <color rgb="FF000000"/>
        <rFont val="휴먼고딕"/>
        <charset val="129"/>
      </rPr>
      <t>톤이상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휴먼고딕"/>
        <charset val="129"/>
      </rPr>
      <t>세미트레일러 및 트레일러</t>
    </r>
  </si>
  <si>
    <t>자료 : 1) 수송분담율은 현장조사치임
       2)「교통영향평가 지침, 2016.1.25. 국토해양부」제10조(교통영향분석 지표) 제3항 제2호, 3호에 의하여 산정하였음</t>
    <phoneticPr fontId="2" type="noConversion"/>
  </si>
  <si>
    <t xml:space="preserve">■ 차종별 화물수송 비율
</t>
    <phoneticPr fontId="2" type="noConversion"/>
  </si>
  <si>
    <t>pp-82</t>
    <phoneticPr fontId="2" type="noConversion"/>
  </si>
  <si>
    <t>계획인구 규모</t>
    <phoneticPr fontId="2" type="noConversion"/>
  </si>
  <si>
    <t>최초입주년도</t>
    <phoneticPr fontId="2" type="noConversion"/>
  </si>
  <si>
    <t>1년후</t>
    <phoneticPr fontId="2" type="noConversion"/>
  </si>
  <si>
    <t>2년후</t>
    <phoneticPr fontId="2" type="noConversion"/>
  </si>
  <si>
    <t>3년후</t>
    <phoneticPr fontId="2" type="noConversion"/>
  </si>
  <si>
    <t>4년후</t>
    <phoneticPr fontId="2" type="noConversion"/>
  </si>
  <si>
    <t>10만명초과</t>
    <phoneticPr fontId="2" type="noConversion"/>
  </si>
  <si>
    <t>5만명초과~10만명이하</t>
    <phoneticPr fontId="2" type="noConversion"/>
  </si>
  <si>
    <t>5만명이하</t>
    <phoneticPr fontId="2" type="noConversion"/>
  </si>
  <si>
    <t>교통부문 예바타당성조사 쟁점 연구, 2013, p-213</t>
    <phoneticPr fontId="2" type="noConversion"/>
  </si>
  <si>
    <t>택지 및 산업단지 장래 개발계획 반영시 고려사항, pp-4</t>
    <phoneticPr fontId="2" type="noConversion"/>
  </si>
  <si>
    <t>과업 상근인구 수</t>
    <phoneticPr fontId="2" type="noConversion"/>
  </si>
  <si>
    <t>과업 완료 시점</t>
    <phoneticPr fontId="2" type="noConversion"/>
  </si>
  <si>
    <t>&lt;표 3&gt; 계획인구 규모에 따른 계획인구 반영 비율 적용 기준</t>
    <phoneticPr fontId="2" type="noConversion"/>
  </si>
  <si>
    <t>공가율 적용 기준</t>
    <phoneticPr fontId="2" type="noConversion"/>
  </si>
  <si>
    <t>총 계</t>
    <phoneticPr fontId="2" type="noConversion"/>
  </si>
  <si>
    <t>pp-131</t>
    <phoneticPr fontId="2" type="noConversion"/>
  </si>
  <si>
    <t>제3장-사업지구 및 주변지역의 장래 교통수요.hwp</t>
    <phoneticPr fontId="2" type="noConversion"/>
  </si>
  <si>
    <t>과업 상주+상근 인구 수</t>
    <phoneticPr fontId="2" type="noConversion"/>
  </si>
  <si>
    <t>5년후</t>
  </si>
  <si>
    <t>6년후</t>
  </si>
  <si>
    <t>7년후</t>
  </si>
  <si>
    <t>8년후</t>
  </si>
  <si>
    <t>9년후</t>
  </si>
  <si>
    <t>10년후</t>
  </si>
  <si>
    <t>11년후</t>
  </si>
  <si>
    <t>12년후</t>
  </si>
  <si>
    <t>13년후</t>
  </si>
  <si>
    <t>14년후</t>
  </si>
  <si>
    <t>15년후</t>
  </si>
  <si>
    <t>16년후</t>
  </si>
  <si>
    <t>17년후</t>
  </si>
  <si>
    <t>18년후</t>
  </si>
  <si>
    <t>19년후</t>
  </si>
  <si>
    <t>20년후</t>
  </si>
  <si>
    <t>21년후</t>
  </si>
  <si>
    <t>22년후</t>
  </si>
  <si>
    <t>23년후</t>
  </si>
  <si>
    <t>24년후</t>
  </si>
  <si>
    <t>25년후</t>
  </si>
  <si>
    <t>26년후</t>
  </si>
  <si>
    <t>27년후</t>
  </si>
  <si>
    <t>28년후</t>
  </si>
  <si>
    <t>29년후</t>
  </si>
  <si>
    <t>30년후</t>
  </si>
  <si>
    <t>31년후</t>
  </si>
  <si>
    <t>32년후</t>
  </si>
  <si>
    <t>33년후</t>
  </si>
  <si>
    <t>34년후</t>
  </si>
  <si>
    <t>35년후</t>
  </si>
  <si>
    <t>36년후</t>
  </si>
  <si>
    <t>37년후</t>
  </si>
  <si>
    <t>38년후</t>
  </si>
  <si>
    <t>39년후</t>
  </si>
  <si>
    <t>40년후</t>
  </si>
  <si>
    <t>F1</t>
    <phoneticPr fontId="2" type="noConversion"/>
  </si>
  <si>
    <t>첨단제조시설</t>
    <phoneticPr fontId="2" type="noConversion"/>
  </si>
  <si>
    <t>승용차+택시</t>
    <phoneticPr fontId="2" type="noConversion"/>
  </si>
  <si>
    <t>트럭</t>
    <phoneticPr fontId="2" type="noConversion"/>
  </si>
  <si>
    <t>Trip Production</t>
    <phoneticPr fontId="2" type="noConversion"/>
  </si>
  <si>
    <t>Trip Attraction</t>
    <phoneticPr fontId="2" type="noConversion"/>
  </si>
  <si>
    <t>가동률 적용</t>
    <phoneticPr fontId="2" type="noConversion"/>
  </si>
  <si>
    <t>2020년도 수도권 여객 기종점통행량(O/D) 현행화 공동사업, 경기연구원  pp-588</t>
    <phoneticPr fontId="2" type="noConversion"/>
  </si>
  <si>
    <t>택지 및 산업단지 장래 개발계획 반영시 고려사항, pp-6</t>
    <phoneticPr fontId="2" type="noConversion"/>
  </si>
  <si>
    <t>순유입인구비율 적용 (주거시설에 대해서만)</t>
    <phoneticPr fontId="2" type="noConversion"/>
  </si>
  <si>
    <t>FD_pccar_taxi-od_O</t>
  </si>
  <si>
    <t>FD_pccar_taxi-od_D</t>
    <phoneticPr fontId="2" type="noConversion"/>
  </si>
  <si>
    <t>FD_bus-od_O</t>
  </si>
  <si>
    <t>FD_bus-od_D</t>
    <phoneticPr fontId="2" type="noConversion"/>
  </si>
  <si>
    <t>FD-F_fod_zone_O</t>
  </si>
  <si>
    <t>FD-F_fod_zone_D</t>
    <phoneticPr fontId="2" type="noConversion"/>
  </si>
  <si>
    <t>20_25</t>
  </si>
  <si>
    <t>25_30</t>
  </si>
  <si>
    <t>30_35</t>
  </si>
  <si>
    <t>35_40</t>
  </si>
  <si>
    <t>40_45</t>
  </si>
  <si>
    <t>45_50</t>
  </si>
  <si>
    <t>production</t>
  </si>
  <si>
    <t>attraction</t>
  </si>
  <si>
    <t xml:space="preserve">파일경로 : </t>
    <phoneticPr fontId="2" type="noConversion"/>
  </si>
  <si>
    <t>OD_distribution-total.csv</t>
  </si>
  <si>
    <t>X:\00_TLSYSLAB_Mighty_Drive\2021W12-킨텍스교차로개선사업-211026\2021W12-04-분석\2021W12-04-04_존세분화_네트워크수정\2021W21-04-04-02_사업지구_존세분화</t>
  </si>
  <si>
    <t>Z:\02_Completed_Works\2021W12-킨텍스교차로개선사업-211026\2021W12-99-Reference\관련_계획\2021.고양 일산테크노밸리 도시개발사업 교통영향평가(케이지엔지니어링)</t>
    <phoneticPr fontId="2" type="noConversion"/>
  </si>
  <si>
    <t>04. 재심의 수정의결보완서-21.08.19</t>
  </si>
  <si>
    <t>Z:\02_Completed_Works\2021W12-킨텍스교차로개선사업-211026\2021W12-99-Reference\관련_계획\2021.경기고양 방송영상밸리 도시개발사업 교통영향평가(삼안)</t>
    <phoneticPr fontId="2" type="noConversion"/>
  </si>
  <si>
    <t>여객OD</t>
    <phoneticPr fontId="2" type="noConversion"/>
  </si>
  <si>
    <t>화물OD</t>
    <phoneticPr fontId="2" type="noConversion"/>
  </si>
  <si>
    <t>OD_distribution-total_truck.csv</t>
    <phoneticPr fontId="2" type="noConversion"/>
  </si>
  <si>
    <t>장래 년도에 바꿔야할 셀</t>
    <phoneticPr fontId="2" type="noConversion"/>
  </si>
  <si>
    <t>복합지원</t>
    <phoneticPr fontId="2" type="noConversion"/>
  </si>
  <si>
    <t>용도시설별 통행도착량</t>
    <phoneticPr fontId="2" type="noConversion"/>
  </si>
  <si>
    <t>용도시설별 통행발생량</t>
    <phoneticPr fontId="2" type="noConversion"/>
  </si>
  <si>
    <t>용도시설별 통행도착량</t>
    <phoneticPr fontId="2" type="noConversion"/>
  </si>
  <si>
    <t>트럭</t>
    <phoneticPr fontId="2" type="noConversion"/>
  </si>
  <si>
    <t>사업지구 용도시설별 통행발생량 (입주율 적용 + 공가율적용_화물OD 적용X)</t>
    <phoneticPr fontId="2" type="noConversion"/>
  </si>
  <si>
    <t>사업지구 용도시설별 통행도착량 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</si>
  <si>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</si>
  <si>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</si>
  <si>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</si>
  <si>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</si>
  <si>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2035 고양시 도시기본계획 pp-109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</si>
  <si>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</si>
  <si>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트럭</t>
    <phoneticPr fontId="2" type="noConversion"/>
  </si>
  <si>
    <t>트럭</t>
    <phoneticPr fontId="2" type="noConversion"/>
  </si>
  <si>
    <t>트럭</t>
    <phoneticPr fontId="2" type="noConversion"/>
  </si>
  <si>
    <t>장항 1동 통행량 증가량</t>
    <phoneticPr fontId="35" type="noConversion"/>
  </si>
  <si>
    <t>OD_total_2025-zoneSep_pc_vpd-_4_to_6_final</t>
    <phoneticPr fontId="35" type="noConversion"/>
  </si>
  <si>
    <t>: 대 단위 장항 1동 통행량을 통해 계산하였음</t>
    <phoneticPr fontId="35" type="noConversion"/>
  </si>
  <si>
    <t>pccar_O</t>
    <phoneticPr fontId="35" type="noConversion"/>
  </si>
  <si>
    <t>pccar_D</t>
    <phoneticPr fontId="35" type="noConversion"/>
  </si>
  <si>
    <t>bus_O</t>
    <phoneticPr fontId="35" type="noConversion"/>
  </si>
  <si>
    <t>bus_D</t>
    <phoneticPr fontId="35" type="noConversion"/>
  </si>
  <si>
    <t>truck_O</t>
    <phoneticPr fontId="35" type="noConversion"/>
  </si>
  <si>
    <t>truck_D</t>
    <phoneticPr fontId="35" type="noConversion"/>
  </si>
  <si>
    <t>통행량증가율</t>
    <phoneticPr fontId="35" type="noConversion"/>
  </si>
  <si>
    <t>연평균증가량</t>
    <phoneticPr fontId="35" type="noConversion"/>
  </si>
  <si>
    <t>장항공공주택지구 발생 및 도착량</t>
    <phoneticPr fontId="35" type="noConversion"/>
  </si>
  <si>
    <t>장항 공공주택지구</t>
    <phoneticPr fontId="35" type="noConversion"/>
  </si>
  <si>
    <t>pccar_O</t>
    <phoneticPr fontId="35" type="noConversion"/>
  </si>
  <si>
    <t>pccar_D</t>
    <phoneticPr fontId="35" type="noConversion"/>
  </si>
  <si>
    <t>truck_O</t>
    <phoneticPr fontId="35" type="noConversion"/>
  </si>
  <si>
    <t>일산동구 통행증가율 (2020_2025)</t>
    <phoneticPr fontId="35" type="noConversion"/>
  </si>
  <si>
    <t>일산동구 통행증가율 (2025_2030)</t>
    <phoneticPr fontId="35" type="noConversion"/>
  </si>
  <si>
    <t>일산동구 통행증가율 (2030_2035)</t>
    <phoneticPr fontId="35" type="noConversion"/>
  </si>
  <si>
    <t>일산동구 통행증가율 (2035_2040)</t>
    <phoneticPr fontId="35" type="noConversion"/>
  </si>
  <si>
    <t>일산동구 통행증가율 (2040_2045)</t>
    <phoneticPr fontId="35" type="noConversion"/>
  </si>
  <si>
    <t>일산동구 통행증가율 (2045_2050)</t>
    <phoneticPr fontId="35" type="noConversion"/>
  </si>
  <si>
    <t>일산 동구(장항1동 제외) 통행량 증가율</t>
    <phoneticPr fontId="35" type="noConversion"/>
  </si>
  <si>
    <t>bus_O</t>
    <phoneticPr fontId="35" type="noConversion"/>
  </si>
  <si>
    <t>20_25</t>
    <phoneticPr fontId="35" type="noConversion"/>
  </si>
  <si>
    <t>25_30</t>
    <phoneticPr fontId="35" type="noConversion"/>
  </si>
  <si>
    <t>30_35</t>
    <phoneticPr fontId="35" type="noConversion"/>
  </si>
  <si>
    <t>35_40</t>
    <phoneticPr fontId="35" type="noConversion"/>
  </si>
  <si>
    <t>40_45</t>
    <phoneticPr fontId="35" type="noConversion"/>
  </si>
  <si>
    <t>45_50</t>
    <phoneticPr fontId="35" type="noConversion"/>
  </si>
  <si>
    <t>기준년도</t>
    <phoneticPr fontId="2" type="noConversion"/>
  </si>
  <si>
    <t>FD-F_fod_zone_O</t>
    <phoneticPr fontId="2" type="noConversion"/>
  </si>
  <si>
    <t>2030 Trip dsitribution</t>
    <phoneticPr fontId="2" type="noConversion"/>
  </si>
  <si>
    <t>FD_pccar_taxi-od_D</t>
    <phoneticPr fontId="2" type="noConversion"/>
  </si>
  <si>
    <t>FD_bus-od_D</t>
    <phoneticPr fontId="2" type="noConversion"/>
  </si>
  <si>
    <t>FD-F_fod_zone_O</t>
    <phoneticPr fontId="2" type="noConversion"/>
  </si>
  <si>
    <t>FD-F_fod_zone_D</t>
    <phoneticPr fontId="2" type="noConversion"/>
  </si>
  <si>
    <t>FD-F_fod_zone_O</t>
    <phoneticPr fontId="2" type="noConversion"/>
  </si>
  <si>
    <t>FD-F_fod_zone_D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</si>
</sst>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176" formatCode="0_ "/>
    <numFmt numFmtId="177" formatCode="0.0000"/>
    <numFmt numFmtId="178" formatCode="0.0%"/>
    <numFmt numFmtId="179" formatCode="0.00_ "/>
    <numFmt numFmtId="180" formatCode="0.0000_ "/>
    <numFmt numFmtId="181" formatCode="0.0000000000_ "/>
    <numFmt numFmtId="182" formatCode="0.0000000000_);[Red]\(0.0000000000\)"/>
  </numFmts>
  <fonts count="49">
    <font>
      <sz val="11"/>
      <color theme="1"/>
      <name val="맑은 고딕"/>
      <family val="2"/>
      <scheme val="minor"/>
    </font>
    <font>
      <sz val="10"/>
      <color rgb="FF000000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b/>
      <sz val="10"/>
      <color rgb="FF000000"/>
      <name val="휴먼고딕"/>
      <charset val="129"/>
    </font>
    <font>
      <b/>
      <sz val="10"/>
      <color rgb="FF000000"/>
      <name val="맑은 고딕"/>
      <family val="3"/>
      <charset val="129"/>
      <scheme val="minor"/>
    </font>
    <font>
      <sz val="10"/>
      <color rgb="FF000000"/>
      <name val="휴먼고딕"/>
      <charset val="129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13"/>
      <color rgb="FF0070C0"/>
      <name val="맑은 고딕"/>
      <family val="3"/>
      <charset val="129"/>
      <scheme val="minor"/>
    </font>
    <font>
      <b/>
      <sz val="30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rgb="FF000000"/>
      <name val="HY신명조"/>
      <family val="3"/>
      <charset val="129"/>
    </font>
    <font>
      <sz val="10"/>
      <color rgb="FF000000"/>
      <name val="HY신명조"/>
      <family val="3"/>
      <charset val="129"/>
    </font>
    <font>
      <b/>
      <sz val="9"/>
      <color rgb="FF000000"/>
      <name val="HY신명조"/>
      <family val="3"/>
      <charset val="129"/>
    </font>
    <font>
      <b/>
      <sz val="9"/>
      <color rgb="FF000000"/>
      <name val="맑은 고딕"/>
      <family val="3"/>
      <charset val="129"/>
      <scheme val="minor"/>
    </font>
    <font>
      <sz val="9"/>
      <color rgb="FF000000"/>
      <name val="맑은 고딕"/>
      <family val="3"/>
      <charset val="129"/>
      <scheme val="minor"/>
    </font>
    <font>
      <sz val="9"/>
      <color rgb="FF000000"/>
      <name val="HY신명조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b/>
      <sz val="15"/>
      <color theme="4"/>
      <name val="맑은 고딕"/>
      <family val="3"/>
      <charset val="129"/>
      <scheme val="minor"/>
    </font>
    <font>
      <b/>
      <sz val="15"/>
      <color theme="5"/>
      <name val="맑은 고딕"/>
      <family val="3"/>
      <charset val="129"/>
      <scheme val="minor"/>
    </font>
    <font>
      <b/>
      <sz val="10"/>
      <color rgb="FF000000"/>
      <name val="가는둥근제목체"/>
      <family val="3"/>
      <charset val="129"/>
    </font>
    <font>
      <sz val="10"/>
      <color rgb="FF000000"/>
      <name val="가는둥근제목체"/>
      <family val="3"/>
      <charset val="129"/>
    </font>
    <font>
      <sz val="10.199999999999999"/>
      <color rgb="FF000000"/>
      <name val="맑은 고딕"/>
      <family val="3"/>
      <charset val="129"/>
      <scheme val="minor"/>
    </font>
    <font>
      <b/>
      <sz val="13"/>
      <color theme="1"/>
      <name val="맑은 고딕"/>
      <family val="3"/>
      <charset val="129"/>
      <scheme val="minor"/>
    </font>
    <font>
      <b/>
      <sz val="15"/>
      <color rgb="FF00B0F0"/>
      <name val="맑은 고딕"/>
      <family val="3"/>
      <charset val="129"/>
      <scheme val="minor"/>
    </font>
    <font>
      <b/>
      <sz val="12"/>
      <color rgb="FF00B0F0"/>
      <name val="맑은 고딕"/>
      <family val="3"/>
      <charset val="129"/>
      <scheme val="minor"/>
    </font>
    <font>
      <b/>
      <sz val="12"/>
      <color theme="5"/>
      <name val="맑은 고딕"/>
      <family val="3"/>
      <charset val="129"/>
      <scheme val="minor"/>
    </font>
    <font>
      <b/>
      <sz val="9"/>
      <color rgb="FF000000"/>
      <name val="08서울남산체 B"/>
      <family val="3"/>
      <charset val="129"/>
    </font>
    <font>
      <b/>
      <sz val="11"/>
      <color rgb="FF000000"/>
      <name val="08서울남산체 B"/>
      <family val="3"/>
      <charset val="129"/>
    </font>
    <font>
      <sz val="9"/>
      <color rgb="FF000000"/>
      <name val="08서울남산체 B"/>
      <family val="3"/>
      <charset val="129"/>
    </font>
    <font>
      <sz val="10"/>
      <color rgb="FF000000"/>
      <name val="08서울남산체 B"/>
      <family val="3"/>
      <charset val="129"/>
    </font>
    <font>
      <sz val="11"/>
      <color rgb="FF000000"/>
      <name val="맑은 고딕"/>
      <family val="3"/>
      <charset val="129"/>
      <scheme val="minor"/>
    </font>
    <font>
      <sz val="11"/>
      <color rgb="FF000000"/>
      <name val="08서울남산체 B"/>
      <family val="3"/>
      <charset val="129"/>
    </font>
    <font>
      <sz val="8"/>
      <name val="맑은 고딕"/>
      <family val="2"/>
      <charset val="129"/>
      <scheme val="minor"/>
    </font>
    <font>
      <sz val="20"/>
      <color theme="1"/>
      <name val="맑은 고딕"/>
      <family val="2"/>
      <scheme val="minor"/>
    </font>
    <font>
      <sz val="20"/>
      <color rgb="FF000000"/>
      <name val="휴먼고딕"/>
      <charset val="129"/>
    </font>
    <font>
      <b/>
      <sz val="15"/>
      <color theme="1"/>
      <name val="맑은 고딕"/>
      <family val="3"/>
      <charset val="129"/>
      <scheme val="minor"/>
    </font>
    <font>
      <sz val="10"/>
      <color rgb="FF000000"/>
      <name val="신명 신문명조"/>
      <family val="3"/>
      <charset val="129"/>
    </font>
    <font>
      <sz val="10"/>
      <color rgb="FF000000"/>
      <name val="HCI Hollyhock"/>
      <family val="2"/>
    </font>
    <font>
      <b/>
      <sz val="20"/>
      <color theme="1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  <font>
      <b/>
      <sz val="20"/>
      <color rgb="FF000000"/>
      <name val="휴먼고딕"/>
      <charset val="129"/>
    </font>
    <font>
      <b/>
      <sz val="25"/>
      <color rgb="FF000000"/>
      <name val="맑은 고딕"/>
      <family val="3"/>
      <charset val="129"/>
      <scheme val="minor"/>
    </font>
    <font>
      <b/>
      <sz val="15"/>
      <color rgb="FF000000"/>
      <name val="휴먼고딕"/>
      <charset val="129"/>
    </font>
    <font>
      <b/>
      <sz val="15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D8D8D8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D6D6D6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E5E5E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FF33"/>
        <bgColor indexed="64"/>
      </patternFill>
    </fill>
    <fill>
      <patternFill patternType="solid">
        <fgColor rgb="FFFFC000"/>
        <bgColor indexed="64"/>
      </patternFill>
    </fill>
  </fills>
  <borders count="149">
    <border>
      <left/>
      <right/>
      <top/>
      <bottom/>
      <diagonal/>
    </border>
    <border>
      <left style="thick">
        <color rgb="FF000000"/>
      </left>
      <right/>
      <top style="thick">
        <color rgb="FF000000"/>
      </top>
      <bottom/>
      <diagonal/>
    </border>
    <border>
      <left/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ck">
        <color rgb="FF000000"/>
      </left>
      <right/>
      <top/>
      <bottom style="double">
        <color rgb="FF000000"/>
      </bottom>
      <diagonal/>
    </border>
    <border>
      <left/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/>
      <top style="thick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ck">
        <color rgb="FF000000"/>
      </top>
      <bottom/>
      <diagonal/>
    </border>
    <border>
      <left/>
      <right style="thick">
        <color rgb="FF000000"/>
      </right>
      <top style="thick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/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/>
      <diagonal/>
    </border>
    <border>
      <left style="thick">
        <color rgb="FF000000"/>
      </left>
      <right style="thin">
        <color rgb="FF000000"/>
      </right>
      <top/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/>
      <top style="thin">
        <color rgb="FF000000"/>
      </top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thin">
        <color rgb="FF000000"/>
      </bottom>
      <diagonal/>
    </border>
    <border>
      <left/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/>
      <bottom style="double">
        <color rgb="FF000000"/>
      </bottom>
      <diagonal/>
    </border>
    <border>
      <left/>
      <right style="thin">
        <color rgb="FF000000"/>
      </right>
      <top style="double">
        <color rgb="FF000000"/>
      </top>
      <bottom/>
      <diagonal/>
    </border>
    <border>
      <left/>
      <right style="thin">
        <color rgb="FF000000"/>
      </right>
      <top/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/>
      <diagonal/>
    </border>
    <border>
      <left/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double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/>
      <diagonal/>
    </border>
    <border>
      <left style="thin">
        <color rgb="FF000000"/>
      </left>
      <right/>
      <top/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rgb="FF000000"/>
      </right>
      <top style="medium">
        <color indexed="64"/>
      </top>
      <bottom/>
      <diagonal/>
    </border>
    <border>
      <left style="thin">
        <color rgb="FF000000"/>
      </left>
      <right/>
      <top style="medium">
        <color indexed="64"/>
      </top>
      <bottom style="thin">
        <color rgb="FF000000"/>
      </bottom>
      <diagonal/>
    </border>
    <border>
      <left/>
      <right/>
      <top style="medium">
        <color indexed="64"/>
      </top>
      <bottom style="thin">
        <color rgb="FF000000"/>
      </bottom>
      <diagonal/>
    </border>
    <border>
      <left/>
      <right style="thin">
        <color rgb="FF000000"/>
      </right>
      <top style="medium">
        <color indexed="64"/>
      </top>
      <bottom style="thin">
        <color rgb="FF000000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double">
        <color rgb="FF000000"/>
      </bottom>
      <diagonal/>
    </border>
    <border>
      <left style="medium">
        <color indexed="64"/>
      </left>
      <right style="thin">
        <color rgb="FF000000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/>
      <top style="thin">
        <color rgb="FF000000"/>
      </top>
      <bottom style="medium">
        <color indexed="64"/>
      </bottom>
      <diagonal/>
    </border>
    <border>
      <left/>
      <right/>
      <top style="thin">
        <color rgb="FF000000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double">
        <color rgb="FF000000"/>
      </right>
      <top style="thick">
        <color rgb="FF000000"/>
      </top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double">
        <color rgb="FF000000"/>
      </right>
      <top style="double">
        <color rgb="FF000000"/>
      </top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/>
      <diagonal/>
    </border>
    <border>
      <left style="thin">
        <color rgb="FF000000"/>
      </left>
      <right style="double">
        <color rgb="FF000000"/>
      </right>
      <top/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double">
        <color rgb="FF000000"/>
      </right>
      <top style="thick">
        <color rgb="FF000000"/>
      </top>
      <bottom/>
      <diagonal/>
    </border>
    <border>
      <left/>
      <right style="double">
        <color rgb="FF000000"/>
      </right>
      <top/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9" fontId="42" fillId="0" borderId="0" applyFont="0" applyFill="0" applyBorder="0" applyAlignment="0" applyProtection="0">
      <alignment vertical="center"/>
    </xf>
    <xf numFmtId="0" fontId="48" fillId="0" borderId="0">
      <alignment vertical="center"/>
    </xf>
  </cellStyleXfs>
  <cellXfs count="661">
    <xf numFmtId="0" fontId="0" fillId="0" borderId="0" xfId="0"/>
    <xf numFmtId="0" fontId="3" fillId="2" borderId="7" xfId="0" applyFont="1" applyFill="1" applyBorder="1" applyAlignment="1">
      <alignment horizontal="center" vertical="center" wrapText="1"/>
    </xf>
    <xf numFmtId="0" fontId="3" fillId="2" borderId="8" xfId="0" applyFont="1" applyFill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  <xf numFmtId="0" fontId="3" fillId="2" borderId="17" xfId="0" applyFont="1" applyFill="1" applyBorder="1" applyAlignment="1">
      <alignment horizontal="center" vertical="center" wrapText="1"/>
    </xf>
    <xf numFmtId="0" fontId="3" fillId="2" borderId="18" xfId="0" applyFont="1" applyFill="1" applyBorder="1" applyAlignment="1">
      <alignment horizontal="center" vertical="center" wrapText="1"/>
    </xf>
    <xf numFmtId="0" fontId="1" fillId="0" borderId="22" xfId="0" applyFont="1" applyBorder="1" applyAlignment="1">
      <alignment horizontal="center" vertical="center" wrapText="1"/>
    </xf>
    <xf numFmtId="0" fontId="1" fillId="0" borderId="23" xfId="0" applyFont="1" applyBorder="1" applyAlignment="1">
      <alignment horizontal="center" vertical="center" wrapText="1"/>
    </xf>
    <xf numFmtId="3" fontId="1" fillId="0" borderId="27" xfId="0" applyNumberFormat="1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3" fontId="1" fillId="0" borderId="28" xfId="0" applyNumberFormat="1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0" fillId="0" borderId="31" xfId="0" applyBorder="1" applyAlignment="1">
      <alignment vertical="center" wrapText="1"/>
    </xf>
    <xf numFmtId="0" fontId="5" fillId="0" borderId="27" xfId="0" applyFont="1" applyBorder="1" applyAlignment="1">
      <alignment horizontal="center" vertical="center" wrapText="1"/>
    </xf>
    <xf numFmtId="0" fontId="1" fillId="0" borderId="35" xfId="0" applyFont="1" applyBorder="1" applyAlignment="1">
      <alignment horizontal="center" vertical="center" wrapText="1"/>
    </xf>
    <xf numFmtId="3" fontId="1" fillId="0" borderId="35" xfId="0" applyNumberFormat="1" applyFont="1" applyBorder="1" applyAlignment="1">
      <alignment horizontal="center" vertical="center" wrapText="1"/>
    </xf>
    <xf numFmtId="3" fontId="1" fillId="0" borderId="36" xfId="0" applyNumberFormat="1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3" fontId="1" fillId="0" borderId="0" xfId="0" applyNumberFormat="1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 wrapText="1"/>
    </xf>
    <xf numFmtId="0" fontId="5" fillId="0" borderId="32" xfId="0" applyFont="1" applyBorder="1" applyAlignment="1">
      <alignment horizontal="center" vertical="center" wrapText="1"/>
    </xf>
    <xf numFmtId="0" fontId="10" fillId="0" borderId="0" xfId="0" applyFont="1"/>
    <xf numFmtId="0" fontId="11" fillId="0" borderId="0" xfId="0" applyFont="1"/>
    <xf numFmtId="0" fontId="5" fillId="2" borderId="17" xfId="0" applyFont="1" applyFill="1" applyBorder="1" applyAlignment="1">
      <alignment horizontal="center" vertical="center" wrapText="1"/>
    </xf>
    <xf numFmtId="0" fontId="5" fillId="2" borderId="18" xfId="0" applyFont="1" applyFill="1" applyBorder="1" applyAlignment="1">
      <alignment horizontal="center" vertical="center" wrapText="1"/>
    </xf>
    <xf numFmtId="0" fontId="4" fillId="0" borderId="35" xfId="0" applyFont="1" applyBorder="1" applyAlignment="1">
      <alignment horizontal="center" vertical="center" wrapText="1"/>
    </xf>
    <xf numFmtId="3" fontId="4" fillId="0" borderId="35" xfId="0" applyNumberFormat="1" applyFont="1" applyBorder="1" applyAlignment="1">
      <alignment horizontal="center" vertical="center" wrapText="1"/>
    </xf>
    <xf numFmtId="3" fontId="4" fillId="0" borderId="36" xfId="0" applyNumberFormat="1" applyFont="1" applyBorder="1" applyAlignment="1">
      <alignment horizontal="center" vertical="center" wrapText="1"/>
    </xf>
    <xf numFmtId="0" fontId="12" fillId="0" borderId="0" xfId="0" applyFont="1"/>
    <xf numFmtId="0" fontId="12" fillId="0" borderId="0" xfId="0" applyFont="1" applyAlignment="1">
      <alignment horizontal="center"/>
    </xf>
    <xf numFmtId="0" fontId="0" fillId="3" borderId="0" xfId="0" applyFill="1"/>
    <xf numFmtId="0" fontId="13" fillId="4" borderId="40" xfId="0" applyFont="1" applyFill="1" applyBorder="1" applyAlignment="1">
      <alignment horizontal="center" vertical="center" wrapText="1"/>
    </xf>
    <xf numFmtId="0" fontId="13" fillId="4" borderId="17" xfId="0" applyFont="1" applyFill="1" applyBorder="1" applyAlignment="1">
      <alignment horizontal="center" vertical="center" wrapText="1"/>
    </xf>
    <xf numFmtId="0" fontId="13" fillId="4" borderId="49" xfId="0" applyFont="1" applyFill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 wrapText="1"/>
    </xf>
    <xf numFmtId="0" fontId="1" fillId="0" borderId="50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0" fontId="1" fillId="0" borderId="40" xfId="0" applyFont="1" applyBorder="1" applyAlignment="1">
      <alignment horizontal="center" vertical="center" wrapText="1"/>
    </xf>
    <xf numFmtId="0" fontId="14" fillId="0" borderId="34" xfId="0" applyFont="1" applyBorder="1" applyAlignment="1">
      <alignment horizontal="center" vertical="center" wrapText="1"/>
    </xf>
    <xf numFmtId="3" fontId="1" fillId="0" borderId="48" xfId="0" applyNumberFormat="1" applyFont="1" applyBorder="1" applyAlignment="1">
      <alignment horizontal="center" vertical="center" wrapText="1"/>
    </xf>
    <xf numFmtId="0" fontId="14" fillId="0" borderId="22" xfId="0" applyFont="1" applyBorder="1" applyAlignment="1">
      <alignment horizontal="center" vertical="center" wrapText="1"/>
    </xf>
    <xf numFmtId="0" fontId="14" fillId="0" borderId="50" xfId="0" applyFont="1" applyBorder="1" applyAlignment="1">
      <alignment horizontal="center" vertical="center" wrapText="1"/>
    </xf>
    <xf numFmtId="0" fontId="14" fillId="0" borderId="27" xfId="0" applyFont="1" applyBorder="1" applyAlignment="1">
      <alignment horizontal="center" vertical="center" wrapText="1"/>
    </xf>
    <xf numFmtId="0" fontId="14" fillId="0" borderId="40" xfId="0" applyFont="1" applyBorder="1" applyAlignment="1">
      <alignment horizontal="center" vertical="center" wrapText="1"/>
    </xf>
    <xf numFmtId="0" fontId="14" fillId="0" borderId="35" xfId="0" applyFont="1" applyBorder="1" applyAlignment="1">
      <alignment horizontal="center" vertical="center" wrapText="1"/>
    </xf>
    <xf numFmtId="0" fontId="14" fillId="0" borderId="48" xfId="0" applyFont="1" applyBorder="1" applyAlignment="1">
      <alignment horizontal="center" vertical="center" wrapText="1"/>
    </xf>
    <xf numFmtId="0" fontId="15" fillId="4" borderId="17" xfId="0" applyFont="1" applyFill="1" applyBorder="1" applyAlignment="1">
      <alignment horizontal="center" vertical="center" wrapText="1"/>
    </xf>
    <xf numFmtId="3" fontId="14" fillId="0" borderId="35" xfId="0" applyNumberFormat="1" applyFont="1" applyBorder="1" applyAlignment="1">
      <alignment horizontal="center" vertical="center" wrapText="1"/>
    </xf>
    <xf numFmtId="3" fontId="14" fillId="0" borderId="48" xfId="0" applyNumberFormat="1" applyFont="1" applyBorder="1" applyAlignment="1">
      <alignment horizontal="center" vertical="center" wrapText="1"/>
    </xf>
    <xf numFmtId="0" fontId="13" fillId="2" borderId="17" xfId="0" applyFont="1" applyFill="1" applyBorder="1" applyAlignment="1">
      <alignment horizontal="center" vertical="center" wrapText="1"/>
    </xf>
    <xf numFmtId="0" fontId="13" fillId="2" borderId="49" xfId="0" applyFont="1" applyFill="1" applyBorder="1" applyAlignment="1">
      <alignment horizontal="center" vertical="center" wrapText="1"/>
    </xf>
    <xf numFmtId="0" fontId="1" fillId="0" borderId="48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center" vertical="center" wrapText="1"/>
    </xf>
    <xf numFmtId="0" fontId="1" fillId="0" borderId="0" xfId="0" applyFont="1" applyFill="1" applyBorder="1" applyAlignment="1">
      <alignment horizontal="left" vertical="center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right" vertical="center"/>
    </xf>
    <xf numFmtId="0" fontId="0" fillId="0" borderId="0" xfId="0" applyAlignment="1">
      <alignment horizontal="right"/>
    </xf>
    <xf numFmtId="0" fontId="13" fillId="4" borderId="47" xfId="0" applyFont="1" applyFill="1" applyBorder="1" applyAlignment="1">
      <alignment horizontal="center" vertical="center" wrapText="1"/>
    </xf>
    <xf numFmtId="0" fontId="13" fillId="4" borderId="54" xfId="0" applyFont="1" applyFill="1" applyBorder="1" applyAlignment="1">
      <alignment horizontal="center" vertical="center" wrapText="1"/>
    </xf>
    <xf numFmtId="3" fontId="14" fillId="0" borderId="56" xfId="0" applyNumberFormat="1" applyFont="1" applyBorder="1" applyAlignment="1">
      <alignment horizontal="center" vertical="center" wrapText="1"/>
    </xf>
    <xf numFmtId="0" fontId="14" fillId="0" borderId="56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3" fontId="1" fillId="0" borderId="56" xfId="0" applyNumberFormat="1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3" fontId="1" fillId="3" borderId="56" xfId="0" applyNumberFormat="1" applyFont="1" applyFill="1" applyBorder="1" applyAlignment="1">
      <alignment horizontal="center" vertical="center" wrapText="1"/>
    </xf>
    <xf numFmtId="0" fontId="0" fillId="5" borderId="0" xfId="0" applyFill="1"/>
    <xf numFmtId="0" fontId="19" fillId="0" borderId="0" xfId="0" applyFont="1"/>
    <xf numFmtId="0" fontId="3" fillId="4" borderId="60" xfId="0" applyFont="1" applyFill="1" applyBorder="1" applyAlignment="1">
      <alignment horizontal="center" vertical="center" wrapText="1"/>
    </xf>
    <xf numFmtId="0" fontId="3" fillId="4" borderId="61" xfId="0" applyFont="1" applyFill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10" fontId="1" fillId="0" borderId="22" xfId="0" applyNumberFormat="1" applyFont="1" applyBorder="1" applyAlignment="1">
      <alignment horizontal="center" vertical="center" wrapText="1"/>
    </xf>
    <xf numFmtId="10" fontId="1" fillId="0" borderId="21" xfId="0" applyNumberFormat="1" applyFont="1" applyBorder="1" applyAlignment="1">
      <alignment horizontal="center" vertical="center" wrapText="1"/>
    </xf>
    <xf numFmtId="10" fontId="1" fillId="0" borderId="63" xfId="0" applyNumberFormat="1" applyFont="1" applyBorder="1" applyAlignment="1">
      <alignment horizontal="center" vertical="center" wrapText="1"/>
    </xf>
    <xf numFmtId="10" fontId="1" fillId="0" borderId="27" xfId="0" applyNumberFormat="1" applyFont="1" applyBorder="1" applyAlignment="1">
      <alignment horizontal="center" vertical="center" wrapText="1"/>
    </xf>
    <xf numFmtId="10" fontId="1" fillId="0" borderId="26" xfId="0" applyNumberFormat="1" applyFont="1" applyBorder="1" applyAlignment="1">
      <alignment horizontal="center" vertical="center" wrapText="1"/>
    </xf>
    <xf numFmtId="10" fontId="1" fillId="0" borderId="42" xfId="0" applyNumberFormat="1" applyFont="1" applyBorder="1" applyAlignment="1">
      <alignment horizontal="center" vertical="center" wrapText="1"/>
    </xf>
    <xf numFmtId="0" fontId="5" fillId="0" borderId="35" xfId="0" applyFont="1" applyBorder="1" applyAlignment="1">
      <alignment horizontal="center" vertical="center" wrapText="1"/>
    </xf>
    <xf numFmtId="10" fontId="1" fillId="0" borderId="35" xfId="0" applyNumberFormat="1" applyFont="1" applyBorder="1" applyAlignment="1">
      <alignment horizontal="center" vertical="center" wrapText="1"/>
    </xf>
    <xf numFmtId="10" fontId="1" fillId="0" borderId="34" xfId="0" applyNumberFormat="1" applyFont="1" applyBorder="1" applyAlignment="1">
      <alignment horizontal="center" vertical="center" wrapText="1"/>
    </xf>
    <xf numFmtId="10" fontId="1" fillId="0" borderId="65" xfId="0" applyNumberFormat="1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3" fillId="4" borderId="57" xfId="0" applyFont="1" applyFill="1" applyBorder="1" applyAlignment="1">
      <alignment horizontal="center" vertical="center" wrapText="1"/>
    </xf>
    <xf numFmtId="0" fontId="5" fillId="0" borderId="66" xfId="0" applyFont="1" applyBorder="1" applyAlignment="1">
      <alignment horizontal="center" vertical="center" wrapText="1"/>
    </xf>
    <xf numFmtId="0" fontId="1" fillId="0" borderId="67" xfId="0" applyFont="1" applyBorder="1" applyAlignment="1">
      <alignment horizontal="center" vertical="center" wrapText="1"/>
    </xf>
    <xf numFmtId="0" fontId="1" fillId="0" borderId="68" xfId="0" applyFont="1" applyBorder="1" applyAlignment="1">
      <alignment horizontal="center" vertical="center" wrapText="1"/>
    </xf>
    <xf numFmtId="0" fontId="3" fillId="4" borderId="0" xfId="0" applyFont="1" applyFill="1" applyBorder="1" applyAlignment="1">
      <alignment horizontal="center" vertical="center" wrapText="1"/>
    </xf>
    <xf numFmtId="3" fontId="0" fillId="0" borderId="0" xfId="0" applyNumberFormat="1"/>
    <xf numFmtId="0" fontId="0" fillId="0" borderId="56" xfId="0" applyBorder="1"/>
    <xf numFmtId="0" fontId="20" fillId="0" borderId="0" xfId="0" applyFont="1"/>
    <xf numFmtId="0" fontId="12" fillId="0" borderId="56" xfId="0" applyFont="1" applyBorder="1"/>
    <xf numFmtId="0" fontId="0" fillId="3" borderId="56" xfId="0" applyFill="1" applyBorder="1"/>
    <xf numFmtId="0" fontId="21" fillId="0" borderId="0" xfId="0" applyFont="1"/>
    <xf numFmtId="0" fontId="5" fillId="0" borderId="56" xfId="0" applyFont="1" applyBorder="1" applyAlignment="1">
      <alignment horizontal="center" vertical="center" wrapText="1"/>
    </xf>
    <xf numFmtId="0" fontId="0" fillId="0" borderId="56" xfId="0" applyBorder="1" applyAlignment="1">
      <alignment vertical="center" wrapText="1"/>
    </xf>
    <xf numFmtId="0" fontId="22" fillId="6" borderId="7" xfId="0" applyFont="1" applyFill="1" applyBorder="1" applyAlignment="1">
      <alignment horizontal="center" vertical="center" wrapText="1"/>
    </xf>
    <xf numFmtId="0" fontId="22" fillId="6" borderId="9" xfId="0" applyFont="1" applyFill="1" applyBorder="1" applyAlignment="1">
      <alignment horizontal="center" vertical="center" wrapText="1"/>
    </xf>
    <xf numFmtId="0" fontId="22" fillId="6" borderId="17" xfId="0" applyFont="1" applyFill="1" applyBorder="1" applyAlignment="1">
      <alignment horizontal="center" vertical="center" wrapText="1"/>
    </xf>
    <xf numFmtId="3" fontId="24" fillId="0" borderId="22" xfId="0" applyNumberFormat="1" applyFont="1" applyBorder="1" applyAlignment="1">
      <alignment horizontal="right" vertical="center" wrapText="1"/>
    </xf>
    <xf numFmtId="3" fontId="24" fillId="0" borderId="23" xfId="0" applyNumberFormat="1" applyFont="1" applyBorder="1" applyAlignment="1">
      <alignment horizontal="right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0" fillId="0" borderId="8" xfId="0" applyBorder="1" applyAlignment="1">
      <alignment vertical="center" wrapText="1"/>
    </xf>
    <xf numFmtId="0" fontId="0" fillId="0" borderId="79" xfId="0" applyBorder="1" applyAlignment="1">
      <alignment vertical="center" wrapText="1"/>
    </xf>
    <xf numFmtId="3" fontId="24" fillId="0" borderId="27" xfId="0" applyNumberFormat="1" applyFont="1" applyBorder="1" applyAlignment="1">
      <alignment horizontal="right" vertical="center" wrapText="1"/>
    </xf>
    <xf numFmtId="3" fontId="24" fillId="0" borderId="28" xfId="0" applyNumberFormat="1" applyFont="1" applyBorder="1" applyAlignment="1">
      <alignment horizontal="right" vertical="center" wrapText="1"/>
    </xf>
    <xf numFmtId="0" fontId="23" fillId="0" borderId="79" xfId="0" applyFont="1" applyBorder="1" applyAlignment="1">
      <alignment horizontal="center" vertical="center" wrapText="1"/>
    </xf>
    <xf numFmtId="0" fontId="24" fillId="0" borderId="27" xfId="0" applyFont="1" applyBorder="1" applyAlignment="1">
      <alignment horizontal="right" vertical="center" wrapText="1"/>
    </xf>
    <xf numFmtId="0" fontId="23" fillId="0" borderId="27" xfId="0" applyFont="1" applyBorder="1" applyAlignment="1">
      <alignment horizontal="center" vertical="center" wrapText="1"/>
    </xf>
    <xf numFmtId="0" fontId="0" fillId="0" borderId="80" xfId="0" applyBorder="1" applyAlignment="1">
      <alignment vertical="center" wrapText="1"/>
    </xf>
    <xf numFmtId="0" fontId="24" fillId="0" borderId="28" xfId="0" applyFont="1" applyBorder="1" applyAlignment="1">
      <alignment horizontal="right" vertical="center" wrapText="1"/>
    </xf>
    <xf numFmtId="3" fontId="24" fillId="0" borderId="35" xfId="0" applyNumberFormat="1" applyFont="1" applyBorder="1" applyAlignment="1">
      <alignment horizontal="right" vertical="center" wrapText="1"/>
    </xf>
    <xf numFmtId="3" fontId="24" fillId="0" borderId="36" xfId="0" applyNumberFormat="1" applyFont="1" applyBorder="1" applyAlignment="1">
      <alignment horizontal="right" vertical="center" wrapText="1"/>
    </xf>
    <xf numFmtId="3" fontId="24" fillId="0" borderId="75" xfId="0" applyNumberFormat="1" applyFont="1" applyBorder="1" applyAlignment="1">
      <alignment horizontal="right" vertical="center" wrapText="1"/>
    </xf>
    <xf numFmtId="3" fontId="24" fillId="0" borderId="82" xfId="0" applyNumberFormat="1" applyFont="1" applyBorder="1" applyAlignment="1">
      <alignment horizontal="right" vertical="center" wrapText="1"/>
    </xf>
    <xf numFmtId="0" fontId="22" fillId="6" borderId="60" xfId="0" applyFont="1" applyFill="1" applyBorder="1" applyAlignment="1">
      <alignment horizontal="center" vertical="center" wrapText="1"/>
    </xf>
    <xf numFmtId="0" fontId="22" fillId="6" borderId="61" xfId="0" applyFont="1" applyFill="1" applyBorder="1" applyAlignment="1">
      <alignment horizontal="center" vertical="center" wrapText="1"/>
    </xf>
    <xf numFmtId="0" fontId="23" fillId="0" borderId="22" xfId="0" applyFont="1" applyBorder="1" applyAlignment="1">
      <alignment horizontal="center" vertical="center" wrapText="1"/>
    </xf>
    <xf numFmtId="3" fontId="1" fillId="0" borderId="22" xfId="0" applyNumberFormat="1" applyFont="1" applyBorder="1" applyAlignment="1">
      <alignment horizontal="center" vertical="center" wrapText="1"/>
    </xf>
    <xf numFmtId="3" fontId="1" fillId="0" borderId="23" xfId="0" applyNumberFormat="1" applyFont="1" applyBorder="1" applyAlignment="1">
      <alignment horizontal="center" vertical="center" wrapText="1"/>
    </xf>
    <xf numFmtId="0" fontId="23" fillId="0" borderId="35" xfId="0" applyFont="1" applyBorder="1" applyAlignment="1">
      <alignment horizontal="center" vertical="center" wrapText="1"/>
    </xf>
    <xf numFmtId="0" fontId="1" fillId="0" borderId="36" xfId="0" applyFont="1" applyBorder="1" applyAlignment="1">
      <alignment horizontal="center" vertical="center" wrapText="1"/>
    </xf>
    <xf numFmtId="0" fontId="23" fillId="0" borderId="84" xfId="0" applyFont="1" applyBorder="1" applyAlignment="1">
      <alignment horizontal="center" vertical="center" wrapText="1"/>
    </xf>
    <xf numFmtId="0" fontId="1" fillId="0" borderId="22" xfId="0" applyFont="1" applyBorder="1" applyAlignment="1">
      <alignment horizontal="right" vertical="center" wrapText="1"/>
    </xf>
    <xf numFmtId="0" fontId="1" fillId="0" borderId="23" xfId="0" applyFont="1" applyBorder="1" applyAlignment="1">
      <alignment horizontal="right" vertical="center" wrapText="1"/>
    </xf>
    <xf numFmtId="0" fontId="1" fillId="0" borderId="27" xfId="0" applyFont="1" applyBorder="1" applyAlignment="1">
      <alignment horizontal="right" vertical="center" wrapText="1"/>
    </xf>
    <xf numFmtId="0" fontId="1" fillId="0" borderId="28" xfId="0" applyFont="1" applyBorder="1" applyAlignment="1">
      <alignment horizontal="right" vertical="center" wrapText="1"/>
    </xf>
    <xf numFmtId="0" fontId="1" fillId="0" borderId="35" xfId="0" applyFont="1" applyBorder="1" applyAlignment="1">
      <alignment horizontal="right" vertical="center" wrapText="1"/>
    </xf>
    <xf numFmtId="0" fontId="1" fillId="0" borderId="36" xfId="0" applyFont="1" applyBorder="1" applyAlignment="1">
      <alignment horizontal="right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right" vertical="center" wrapText="1"/>
    </xf>
    <xf numFmtId="0" fontId="22" fillId="6" borderId="92" xfId="0" applyFont="1" applyFill="1" applyBorder="1" applyAlignment="1">
      <alignment vertical="center" wrapText="1"/>
    </xf>
    <xf numFmtId="0" fontId="22" fillId="6" borderId="93" xfId="0" applyFont="1" applyFill="1" applyBorder="1" applyAlignment="1">
      <alignment vertical="center" wrapText="1"/>
    </xf>
    <xf numFmtId="0" fontId="22" fillId="6" borderId="94" xfId="0" applyFont="1" applyFill="1" applyBorder="1" applyAlignment="1">
      <alignment vertical="center" wrapText="1"/>
    </xf>
    <xf numFmtId="0" fontId="1" fillId="0" borderId="97" xfId="0" applyFont="1" applyBorder="1" applyAlignment="1">
      <alignment vertical="center" wrapText="1"/>
    </xf>
    <xf numFmtId="0" fontId="1" fillId="0" borderId="99" xfId="0" applyFont="1" applyBorder="1" applyAlignment="1">
      <alignment vertical="center" wrapText="1"/>
    </xf>
    <xf numFmtId="0" fontId="0" fillId="0" borderId="100" xfId="0" applyBorder="1" applyAlignment="1">
      <alignment vertical="center" wrapText="1"/>
    </xf>
    <xf numFmtId="0" fontId="22" fillId="6" borderId="47" xfId="0" applyFont="1" applyFill="1" applyBorder="1" applyAlignment="1">
      <alignment horizontal="center" vertical="center" wrapText="1"/>
    </xf>
    <xf numFmtId="0" fontId="24" fillId="3" borderId="56" xfId="0" applyFont="1" applyFill="1" applyBorder="1" applyAlignment="1">
      <alignment horizontal="right" vertical="center" wrapText="1"/>
    </xf>
    <xf numFmtId="0" fontId="0" fillId="3" borderId="104" xfId="0" applyFill="1" applyBorder="1"/>
    <xf numFmtId="0" fontId="24" fillId="3" borderId="105" xfId="0" applyFont="1" applyFill="1" applyBorder="1" applyAlignment="1">
      <alignment horizontal="right" vertical="center" wrapText="1"/>
    </xf>
    <xf numFmtId="0" fontId="0" fillId="3" borderId="105" xfId="0" applyFill="1" applyBorder="1"/>
    <xf numFmtId="0" fontId="0" fillId="3" borderId="106" xfId="0" applyFill="1" applyBorder="1"/>
    <xf numFmtId="0" fontId="26" fillId="0" borderId="0" xfId="0" applyFont="1"/>
    <xf numFmtId="0" fontId="22" fillId="6" borderId="57" xfId="0" applyFont="1" applyFill="1" applyBorder="1" applyAlignment="1">
      <alignment horizontal="center" vertical="center" wrapText="1"/>
    </xf>
    <xf numFmtId="0" fontId="23" fillId="0" borderId="66" xfId="0" applyFont="1" applyBorder="1" applyAlignment="1">
      <alignment horizontal="center" vertical="center" wrapText="1"/>
    </xf>
    <xf numFmtId="0" fontId="27" fillId="0" borderId="0" xfId="0" applyFont="1"/>
    <xf numFmtId="0" fontId="28" fillId="0" borderId="0" xfId="0" applyFont="1"/>
    <xf numFmtId="0" fontId="0" fillId="8" borderId="0" xfId="0" applyFill="1"/>
    <xf numFmtId="0" fontId="12" fillId="8" borderId="56" xfId="0" applyFont="1" applyFill="1" applyBorder="1"/>
    <xf numFmtId="0" fontId="0" fillId="8" borderId="56" xfId="0" applyFill="1" applyBorder="1"/>
    <xf numFmtId="1" fontId="0" fillId="8" borderId="56" xfId="0" applyNumberFormat="1" applyFill="1" applyBorder="1"/>
    <xf numFmtId="0" fontId="0" fillId="0" borderId="0" xfId="0" applyAlignment="1">
      <alignment wrapText="1"/>
    </xf>
    <xf numFmtId="0" fontId="1" fillId="0" borderId="0" xfId="0" applyFont="1" applyAlignment="1">
      <alignment horizontal="justify" vertical="center"/>
    </xf>
    <xf numFmtId="0" fontId="32" fillId="0" borderId="0" xfId="0" applyFont="1" applyAlignment="1">
      <alignment horizontal="justify" vertical="center"/>
    </xf>
    <xf numFmtId="0" fontId="30" fillId="0" borderId="0" xfId="0" applyFont="1" applyFill="1" applyBorder="1" applyAlignment="1">
      <alignment horizontal="justify" vertical="center"/>
    </xf>
    <xf numFmtId="0" fontId="17" fillId="0" borderId="108" xfId="0" applyFont="1" applyBorder="1" applyAlignment="1">
      <alignment horizontal="center" vertical="center" wrapText="1"/>
    </xf>
    <xf numFmtId="0" fontId="17" fillId="0" borderId="28" xfId="0" applyFont="1" applyBorder="1" applyAlignment="1">
      <alignment horizontal="center" vertical="center" wrapText="1"/>
    </xf>
    <xf numFmtId="0" fontId="29" fillId="0" borderId="56" xfId="0" applyFont="1" applyBorder="1" applyAlignment="1">
      <alignment horizontal="center" vertical="center" wrapText="1"/>
    </xf>
    <xf numFmtId="3" fontId="16" fillId="0" borderId="56" xfId="0" applyNumberFormat="1" applyFont="1" applyBorder="1" applyAlignment="1">
      <alignment horizontal="center" vertical="center" wrapText="1"/>
    </xf>
    <xf numFmtId="3" fontId="17" fillId="0" borderId="56" xfId="0" applyNumberFormat="1" applyFont="1" applyBorder="1" applyAlignment="1">
      <alignment horizontal="center" vertical="center" wrapText="1"/>
    </xf>
    <xf numFmtId="0" fontId="17" fillId="0" borderId="56" xfId="0" applyFont="1" applyBorder="1" applyAlignment="1">
      <alignment horizontal="center" vertical="center" wrapText="1"/>
    </xf>
    <xf numFmtId="0" fontId="29" fillId="0" borderId="110" xfId="0" applyFont="1" applyBorder="1" applyAlignment="1">
      <alignment horizontal="center" vertical="center" wrapText="1"/>
    </xf>
    <xf numFmtId="0" fontId="29" fillId="0" borderId="61" xfId="0" applyFont="1" applyBorder="1" applyAlignment="1">
      <alignment horizontal="center" vertical="center" wrapText="1"/>
    </xf>
    <xf numFmtId="0" fontId="31" fillId="0" borderId="84" xfId="0" applyFont="1" applyBorder="1" applyAlignment="1">
      <alignment horizontal="center" vertical="center" wrapText="1"/>
    </xf>
    <xf numFmtId="0" fontId="17" fillId="0" borderId="79" xfId="0" applyFont="1" applyBorder="1" applyAlignment="1">
      <alignment horizontal="center" vertical="center" wrapText="1"/>
    </xf>
    <xf numFmtId="0" fontId="31" fillId="0" borderId="111" xfId="0" applyFont="1" applyBorder="1" applyAlignment="1">
      <alignment horizontal="center" vertical="center" wrapText="1"/>
    </xf>
    <xf numFmtId="0" fontId="17" fillId="0" borderId="112" xfId="0" applyFont="1" applyBorder="1" applyAlignment="1">
      <alignment horizontal="center" vertical="center" wrapText="1"/>
    </xf>
    <xf numFmtId="0" fontId="17" fillId="0" borderId="23" xfId="0" applyFont="1" applyBorder="1" applyAlignment="1">
      <alignment horizontal="center" vertical="center" wrapText="1"/>
    </xf>
    <xf numFmtId="0" fontId="31" fillId="0" borderId="113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7" fillId="0" borderId="80" xfId="0" applyFont="1" applyBorder="1" applyAlignment="1">
      <alignment horizontal="center" vertical="center" wrapText="1"/>
    </xf>
    <xf numFmtId="0" fontId="31" fillId="0" borderId="120" xfId="0" applyFont="1" applyBorder="1" applyAlignment="1">
      <alignment horizontal="center" vertical="center" wrapText="1"/>
    </xf>
    <xf numFmtId="0" fontId="17" fillId="0" borderId="107" xfId="0" applyFont="1" applyBorder="1" applyAlignment="1">
      <alignment horizontal="center" vertical="center" wrapText="1"/>
    </xf>
    <xf numFmtId="0" fontId="17" fillId="0" borderId="3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  <xf numFmtId="3" fontId="16" fillId="8" borderId="56" xfId="0" applyNumberFormat="1" applyFont="1" applyFill="1" applyBorder="1" applyAlignment="1">
      <alignment horizontal="center" vertical="center" wrapText="1"/>
    </xf>
    <xf numFmtId="0" fontId="16" fillId="8" borderId="56" xfId="0" applyFont="1" applyFill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36" fillId="0" borderId="0" xfId="0" applyFont="1"/>
    <xf numFmtId="0" fontId="36" fillId="0" borderId="0" xfId="0" applyFont="1" applyAlignment="1">
      <alignment vertical="center"/>
    </xf>
    <xf numFmtId="0" fontId="0" fillId="3" borderId="0" xfId="0" applyFill="1" applyAlignment="1">
      <alignment vertical="center"/>
    </xf>
    <xf numFmtId="0" fontId="0" fillId="8" borderId="0" xfId="0" applyFill="1" applyAlignment="1">
      <alignment vertical="center"/>
    </xf>
    <xf numFmtId="0" fontId="0" fillId="9" borderId="0" xfId="0" applyFill="1"/>
    <xf numFmtId="0" fontId="0" fillId="9" borderId="0" xfId="0" applyFill="1" applyAlignment="1">
      <alignment vertical="center"/>
    </xf>
    <xf numFmtId="0" fontId="0" fillId="9" borderId="56" xfId="0" applyFill="1" applyBorder="1"/>
    <xf numFmtId="0" fontId="12" fillId="9" borderId="56" xfId="0" applyFont="1" applyFill="1" applyBorder="1" applyAlignment="1">
      <alignment vertical="center"/>
    </xf>
    <xf numFmtId="0" fontId="5" fillId="9" borderId="56" xfId="0" applyFont="1" applyFill="1" applyBorder="1" applyAlignment="1">
      <alignment horizontal="center" vertical="center" wrapText="1"/>
    </xf>
    <xf numFmtId="0" fontId="37" fillId="0" borderId="0" xfId="0" applyFont="1" applyBorder="1" applyAlignment="1">
      <alignment horizontal="center" vertical="center" wrapText="1"/>
    </xf>
    <xf numFmtId="0" fontId="5" fillId="9" borderId="56" xfId="0" applyFont="1" applyFill="1" applyBorder="1" applyAlignment="1">
      <alignment vertical="center" wrapText="1"/>
    </xf>
    <xf numFmtId="0" fontId="5" fillId="8" borderId="56" xfId="0" applyFont="1" applyFill="1" applyBorder="1" applyAlignment="1">
      <alignment vertical="center" wrapText="1"/>
    </xf>
    <xf numFmtId="2" fontId="0" fillId="8" borderId="56" xfId="0" applyNumberFormat="1" applyFill="1" applyBorder="1"/>
    <xf numFmtId="176" fontId="0" fillId="8" borderId="56" xfId="0" applyNumberFormat="1" applyFill="1" applyBorder="1"/>
    <xf numFmtId="0" fontId="5" fillId="8" borderId="86" xfId="0" applyFont="1" applyFill="1" applyBorder="1" applyAlignment="1">
      <alignment vertical="center" wrapText="1"/>
    </xf>
    <xf numFmtId="0" fontId="5" fillId="8" borderId="86" xfId="0" applyFont="1" applyFill="1" applyBorder="1" applyAlignment="1">
      <alignment horizontal="center" vertical="center" wrapText="1"/>
    </xf>
    <xf numFmtId="0" fontId="12" fillId="8" borderId="125" xfId="0" applyFont="1" applyFill="1" applyBorder="1"/>
    <xf numFmtId="0" fontId="12" fillId="8" borderId="104" xfId="0" applyFont="1" applyFill="1" applyBorder="1"/>
    <xf numFmtId="2" fontId="0" fillId="8" borderId="125" xfId="0" applyNumberFormat="1" applyFill="1" applyBorder="1"/>
    <xf numFmtId="2" fontId="0" fillId="8" borderId="104" xfId="0" applyNumberFormat="1" applyFill="1" applyBorder="1"/>
    <xf numFmtId="2" fontId="0" fillId="8" borderId="126" xfId="0" applyNumberFormat="1" applyFill="1" applyBorder="1"/>
    <xf numFmtId="2" fontId="0" fillId="8" borderId="105" xfId="0" applyNumberFormat="1" applyFill="1" applyBorder="1"/>
    <xf numFmtId="2" fontId="0" fillId="8" borderId="106" xfId="0" applyNumberFormat="1" applyFill="1" applyBorder="1"/>
    <xf numFmtId="176" fontId="0" fillId="8" borderId="125" xfId="0" applyNumberFormat="1" applyFill="1" applyBorder="1"/>
    <xf numFmtId="176" fontId="0" fillId="8" borderId="104" xfId="0" applyNumberFormat="1" applyFill="1" applyBorder="1"/>
    <xf numFmtId="176" fontId="0" fillId="8" borderId="126" xfId="0" applyNumberFormat="1" applyFill="1" applyBorder="1"/>
    <xf numFmtId="176" fontId="0" fillId="8" borderId="105" xfId="0" applyNumberFormat="1" applyFill="1" applyBorder="1"/>
    <xf numFmtId="176" fontId="0" fillId="8" borderId="106" xfId="0" applyNumberFormat="1" applyFill="1" applyBorder="1"/>
    <xf numFmtId="0" fontId="0" fillId="8" borderId="56" xfId="0" applyFill="1" applyBorder="1" applyAlignment="1">
      <alignment horizontal="center" vertical="center"/>
    </xf>
    <xf numFmtId="0" fontId="0" fillId="8" borderId="56" xfId="0" applyFill="1" applyBorder="1" applyAlignment="1">
      <alignment vertical="center"/>
    </xf>
    <xf numFmtId="176" fontId="0" fillId="8" borderId="121" xfId="0" applyNumberFormat="1" applyFill="1" applyBorder="1"/>
    <xf numFmtId="0" fontId="38" fillId="7" borderId="0" xfId="0" applyFont="1" applyFill="1"/>
    <xf numFmtId="0" fontId="0" fillId="7" borderId="0" xfId="0" applyFill="1"/>
    <xf numFmtId="177" fontId="0" fillId="0" borderId="0" xfId="0" applyNumberFormat="1"/>
    <xf numFmtId="177" fontId="0" fillId="8" borderId="56" xfId="0" applyNumberFormat="1" applyFill="1" applyBorder="1" applyAlignment="1">
      <alignment vertical="center"/>
    </xf>
    <xf numFmtId="176" fontId="0" fillId="0" borderId="0" xfId="0" applyNumberFormat="1"/>
    <xf numFmtId="0" fontId="5" fillId="0" borderId="2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vertical="center" wrapText="1"/>
    </xf>
    <xf numFmtId="0" fontId="0" fillId="0" borderId="53" xfId="0" applyBorder="1" applyAlignment="1">
      <alignment vertical="center" wrapText="1"/>
    </xf>
    <xf numFmtId="0" fontId="5" fillId="0" borderId="45" xfId="0" applyFont="1" applyBorder="1" applyAlignment="1">
      <alignment horizontal="center" vertical="center" wrapText="1"/>
    </xf>
    <xf numFmtId="0" fontId="40" fillId="0" borderId="75" xfId="0" applyFont="1" applyBorder="1" applyAlignment="1">
      <alignment horizontal="center" vertical="center" wrapText="1"/>
    </xf>
    <xf numFmtId="0" fontId="39" fillId="0" borderId="45" xfId="0" applyFont="1" applyBorder="1" applyAlignment="1">
      <alignment horizontal="center" vertical="center" wrapText="1"/>
    </xf>
    <xf numFmtId="0" fontId="39" fillId="0" borderId="38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40" fillId="0" borderId="79" xfId="0" applyFont="1" applyBorder="1" applyAlignment="1">
      <alignment horizontal="center" vertical="center" wrapText="1"/>
    </xf>
    <xf numFmtId="0" fontId="39" fillId="0" borderId="12" xfId="0" applyFont="1" applyBorder="1" applyAlignment="1">
      <alignment horizontal="center" vertical="center" wrapText="1"/>
    </xf>
    <xf numFmtId="0" fontId="39" fillId="0" borderId="15" xfId="0" applyFont="1" applyBorder="1" applyAlignment="1">
      <alignment horizontal="center" vertical="center" wrapText="1"/>
    </xf>
    <xf numFmtId="0" fontId="5" fillId="0" borderId="53" xfId="0" applyFont="1" applyBorder="1" applyAlignment="1">
      <alignment horizontal="center" vertical="center" wrapText="1"/>
    </xf>
    <xf numFmtId="0" fontId="40" fillId="0" borderId="80" xfId="0" applyFont="1" applyBorder="1" applyAlignment="1">
      <alignment horizontal="center" vertical="center" wrapText="1"/>
    </xf>
    <xf numFmtId="0" fontId="39" fillId="0" borderId="53" xfId="0" applyFont="1" applyBorder="1" applyAlignment="1">
      <alignment horizontal="center" vertical="center" wrapText="1"/>
    </xf>
    <xf numFmtId="0" fontId="39" fillId="0" borderId="127" xfId="0" applyFont="1" applyBorder="1" applyAlignment="1">
      <alignment horizontal="center" vertical="center" wrapText="1"/>
    </xf>
    <xf numFmtId="0" fontId="5" fillId="0" borderId="128" xfId="0" applyFont="1" applyBorder="1" applyAlignment="1">
      <alignment horizontal="center" vertical="center" wrapText="1"/>
    </xf>
    <xf numFmtId="0" fontId="5" fillId="0" borderId="129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10" borderId="12" xfId="0" applyFont="1" applyFill="1" applyBorder="1" applyAlignment="1">
      <alignment horizontal="center" vertical="center" wrapText="1"/>
    </xf>
    <xf numFmtId="0" fontId="40" fillId="10" borderId="79" xfId="0" applyFont="1" applyFill="1" applyBorder="1" applyAlignment="1">
      <alignment horizontal="center" vertical="center" wrapText="1"/>
    </xf>
    <xf numFmtId="0" fontId="39" fillId="10" borderId="12" xfId="0" applyFont="1" applyFill="1" applyBorder="1" applyAlignment="1">
      <alignment horizontal="center" vertical="center" wrapText="1"/>
    </xf>
    <xf numFmtId="0" fontId="39" fillId="10" borderId="15" xfId="0" applyFont="1" applyFill="1" applyBorder="1" applyAlignment="1">
      <alignment horizontal="center" vertical="center" wrapText="1"/>
    </xf>
    <xf numFmtId="0" fontId="41" fillId="0" borderId="0" xfId="0" applyFont="1"/>
    <xf numFmtId="0" fontId="40" fillId="0" borderId="27" xfId="0" applyFont="1" applyBorder="1" applyAlignment="1">
      <alignment horizontal="center" vertical="center" wrapText="1"/>
    </xf>
    <xf numFmtId="0" fontId="40" fillId="0" borderId="40" xfId="0" applyFont="1" applyBorder="1" applyAlignment="1">
      <alignment horizontal="center" vertical="center" wrapText="1"/>
    </xf>
    <xf numFmtId="0" fontId="5" fillId="0" borderId="75" xfId="0" applyFont="1" applyBorder="1" applyAlignment="1">
      <alignment horizontal="center" vertical="center" wrapText="1"/>
    </xf>
    <xf numFmtId="0" fontId="40" fillId="0" borderId="35" xfId="0" applyFont="1" applyBorder="1" applyAlignment="1">
      <alignment horizontal="center" vertical="center" wrapText="1"/>
    </xf>
    <xf numFmtId="0" fontId="40" fillId="0" borderId="48" xfId="0" applyFont="1" applyBorder="1" applyAlignment="1">
      <alignment horizontal="center" vertical="center" wrapText="1"/>
    </xf>
    <xf numFmtId="0" fontId="5" fillId="10" borderId="26" xfId="0" applyFont="1" applyFill="1" applyBorder="1" applyAlignment="1">
      <alignment horizontal="center" vertical="center" wrapText="1"/>
    </xf>
    <xf numFmtId="0" fontId="40" fillId="10" borderId="27" xfId="0" applyFont="1" applyFill="1" applyBorder="1" applyAlignment="1">
      <alignment horizontal="center" vertical="center" wrapText="1"/>
    </xf>
    <xf numFmtId="0" fontId="40" fillId="10" borderId="40" xfId="0" applyFont="1" applyFill="1" applyBorder="1" applyAlignment="1">
      <alignment horizontal="center" vertical="center" wrapText="1"/>
    </xf>
    <xf numFmtId="0" fontId="0" fillId="10" borderId="0" xfId="0" applyFill="1"/>
    <xf numFmtId="0" fontId="12" fillId="10" borderId="56" xfId="0" applyFont="1" applyFill="1" applyBorder="1"/>
    <xf numFmtId="0" fontId="5" fillId="10" borderId="56" xfId="0" applyFont="1" applyFill="1" applyBorder="1" applyAlignment="1">
      <alignment vertical="center" wrapText="1"/>
    </xf>
    <xf numFmtId="0" fontId="5" fillId="10" borderId="86" xfId="0" applyFont="1" applyFill="1" applyBorder="1" applyAlignment="1">
      <alignment vertical="center" wrapText="1"/>
    </xf>
    <xf numFmtId="2" fontId="0" fillId="10" borderId="56" xfId="0" applyNumberFormat="1" applyFill="1" applyBorder="1"/>
    <xf numFmtId="2" fontId="0" fillId="10" borderId="125" xfId="0" applyNumberFormat="1" applyFill="1" applyBorder="1"/>
    <xf numFmtId="176" fontId="0" fillId="10" borderId="125" xfId="0" applyNumberFormat="1" applyFill="1" applyBorder="1"/>
    <xf numFmtId="176" fontId="0" fillId="10" borderId="56" xfId="0" applyNumberFormat="1" applyFill="1" applyBorder="1"/>
    <xf numFmtId="0" fontId="5" fillId="10" borderId="86" xfId="0" applyFont="1" applyFill="1" applyBorder="1" applyAlignment="1">
      <alignment horizontal="center" vertical="center" wrapText="1"/>
    </xf>
    <xf numFmtId="2" fontId="0" fillId="10" borderId="126" xfId="0" applyNumberFormat="1" applyFill="1" applyBorder="1"/>
    <xf numFmtId="2" fontId="0" fillId="10" borderId="105" xfId="0" applyNumberFormat="1" applyFill="1" applyBorder="1"/>
    <xf numFmtId="176" fontId="0" fillId="10" borderId="126" xfId="0" applyNumberFormat="1" applyFill="1" applyBorder="1"/>
    <xf numFmtId="176" fontId="0" fillId="10" borderId="105" xfId="0" applyNumberFormat="1" applyFill="1" applyBorder="1"/>
    <xf numFmtId="0" fontId="13" fillId="4" borderId="56" xfId="0" applyFont="1" applyFill="1" applyBorder="1" applyAlignment="1">
      <alignment horizontal="center" vertical="center" wrapText="1"/>
    </xf>
    <xf numFmtId="178" fontId="0" fillId="0" borderId="0" xfId="1" applyNumberFormat="1" applyFont="1" applyAlignment="1"/>
    <xf numFmtId="0" fontId="0" fillId="11" borderId="0" xfId="0" applyFill="1"/>
    <xf numFmtId="0" fontId="12" fillId="11" borderId="0" xfId="0" applyFont="1" applyFill="1"/>
    <xf numFmtId="0" fontId="12" fillId="11" borderId="121" xfId="0" applyFont="1" applyFill="1" applyBorder="1"/>
    <xf numFmtId="176" fontId="0" fillId="11" borderId="0" xfId="0" applyNumberFormat="1" applyFill="1"/>
    <xf numFmtId="0" fontId="5" fillId="7" borderId="0" xfId="0" applyFont="1" applyFill="1" applyBorder="1" applyAlignment="1">
      <alignment horizontal="center" vertical="center" wrapText="1"/>
    </xf>
    <xf numFmtId="0" fontId="1" fillId="7" borderId="0" xfId="0" applyFont="1" applyFill="1" applyBorder="1" applyAlignment="1">
      <alignment horizontal="center" vertical="center" wrapText="1"/>
    </xf>
    <xf numFmtId="3" fontId="1" fillId="7" borderId="0" xfId="0" applyNumberFormat="1" applyFont="1" applyFill="1" applyBorder="1" applyAlignment="1">
      <alignment horizontal="center" vertical="center" wrapText="1"/>
    </xf>
    <xf numFmtId="0" fontId="43" fillId="7" borderId="0" xfId="0" applyFont="1" applyFill="1" applyBorder="1" applyAlignment="1">
      <alignment horizontal="center" vertical="center" wrapText="1"/>
    </xf>
    <xf numFmtId="0" fontId="12" fillId="11" borderId="89" xfId="0" applyFont="1" applyFill="1" applyBorder="1"/>
    <xf numFmtId="0" fontId="12" fillId="11" borderId="90" xfId="0" applyFont="1" applyFill="1" applyBorder="1"/>
    <xf numFmtId="0" fontId="12" fillId="11" borderId="95" xfId="0" applyFont="1" applyFill="1" applyBorder="1"/>
    <xf numFmtId="0" fontId="12" fillId="11" borderId="131" xfId="0" applyFont="1" applyFill="1" applyBorder="1"/>
    <xf numFmtId="176" fontId="12" fillId="11" borderId="0" xfId="0" applyNumberFormat="1" applyFont="1" applyFill="1" applyBorder="1"/>
    <xf numFmtId="176" fontId="12" fillId="11" borderId="98" xfId="0" applyNumberFormat="1" applyFont="1" applyFill="1" applyBorder="1"/>
    <xf numFmtId="0" fontId="12" fillId="11" borderId="132" xfId="0" applyFont="1" applyFill="1" applyBorder="1"/>
    <xf numFmtId="9" fontId="12" fillId="11" borderId="0" xfId="0" applyNumberFormat="1" applyFont="1" applyFill="1"/>
    <xf numFmtId="0" fontId="13" fillId="4" borderId="56" xfId="0" applyFont="1" applyFill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3" fontId="1" fillId="0" borderId="0" xfId="0" applyNumberFormat="1" applyFont="1" applyFill="1" applyBorder="1" applyAlignment="1">
      <alignment horizontal="center" vertical="center" wrapText="1"/>
    </xf>
    <xf numFmtId="0" fontId="14" fillId="0" borderId="0" xfId="0" applyFont="1" applyFill="1" applyBorder="1" applyAlignment="1">
      <alignment horizontal="center" vertical="center" wrapText="1"/>
    </xf>
    <xf numFmtId="2" fontId="0" fillId="8" borderId="88" xfId="0" applyNumberFormat="1" applyFill="1" applyBorder="1"/>
    <xf numFmtId="176" fontId="0" fillId="8" borderId="88" xfId="0" applyNumberFormat="1" applyFill="1" applyBorder="1"/>
    <xf numFmtId="179" fontId="0" fillId="8" borderId="121" xfId="0" applyNumberFormat="1" applyFill="1" applyBorder="1"/>
    <xf numFmtId="0" fontId="0" fillId="11" borderId="56" xfId="0" applyFill="1" applyBorder="1"/>
    <xf numFmtId="0" fontId="12" fillId="11" borderId="56" xfId="0" applyFont="1" applyFill="1" applyBorder="1"/>
    <xf numFmtId="1" fontId="12" fillId="11" borderId="56" xfId="0" applyNumberFormat="1" applyFont="1" applyFill="1" applyBorder="1"/>
    <xf numFmtId="176" fontId="0" fillId="5" borderId="0" xfId="0" applyNumberFormat="1" applyFill="1"/>
    <xf numFmtId="1" fontId="0" fillId="0" borderId="0" xfId="0" applyNumberFormat="1"/>
    <xf numFmtId="0" fontId="23" fillId="0" borderId="8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vertical="center" wrapText="1"/>
    </xf>
    <xf numFmtId="0" fontId="23" fillId="0" borderId="41" xfId="0" applyFont="1" applyBorder="1" applyAlignment="1">
      <alignment vertical="center" wrapText="1"/>
    </xf>
    <xf numFmtId="0" fontId="23" fillId="0" borderId="8" xfId="0" applyFont="1" applyBorder="1" applyAlignment="1">
      <alignment vertical="center" wrapText="1"/>
    </xf>
    <xf numFmtId="0" fontId="23" fillId="0" borderId="79" xfId="0" applyFont="1" applyBorder="1" applyAlignment="1">
      <alignment vertical="center" wrapText="1"/>
    </xf>
    <xf numFmtId="0" fontId="23" fillId="0" borderId="101" xfId="0" applyFont="1" applyBorder="1" applyAlignment="1">
      <alignment vertical="center" wrapText="1"/>
    </xf>
    <xf numFmtId="0" fontId="23" fillId="0" borderId="102" xfId="0" applyFont="1" applyBorder="1" applyAlignment="1">
      <alignment vertical="center" wrapText="1"/>
    </xf>
    <xf numFmtId="0" fontId="0" fillId="5" borderId="56" xfId="0" applyFill="1" applyBorder="1"/>
    <xf numFmtId="0" fontId="12" fillId="5" borderId="56" xfId="0" applyFont="1" applyFill="1" applyBorder="1"/>
    <xf numFmtId="1" fontId="12" fillId="5" borderId="56" xfId="0" applyNumberFormat="1" applyFont="1" applyFill="1" applyBorder="1"/>
    <xf numFmtId="0" fontId="0" fillId="5" borderId="138" xfId="0" applyFill="1" applyBorder="1"/>
    <xf numFmtId="1" fontId="0" fillId="11" borderId="0" xfId="0" applyNumberFormat="1" applyFill="1"/>
    <xf numFmtId="1" fontId="0" fillId="5" borderId="0" xfId="0" applyNumberFormat="1" applyFill="1"/>
    <xf numFmtId="0" fontId="44" fillId="5" borderId="97" xfId="0" applyFont="1" applyFill="1" applyBorder="1" applyAlignment="1">
      <alignment vertical="center" wrapText="1"/>
    </xf>
    <xf numFmtId="0" fontId="45" fillId="7" borderId="0" xfId="0" applyFont="1" applyFill="1" applyBorder="1" applyAlignment="1">
      <alignment horizontal="center" vertical="center"/>
    </xf>
    <xf numFmtId="0" fontId="31" fillId="0" borderId="30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13" fillId="4" borderId="60" xfId="0" applyFont="1" applyFill="1" applyBorder="1" applyAlignment="1">
      <alignment horizontal="center" vertical="center" wrapText="1"/>
    </xf>
    <xf numFmtId="0" fontId="13" fillId="4" borderId="141" xfId="0" applyFont="1" applyFill="1" applyBorder="1" applyAlignment="1">
      <alignment horizontal="center" vertical="center" wrapText="1"/>
    </xf>
    <xf numFmtId="180" fontId="0" fillId="0" borderId="0" xfId="0" applyNumberFormat="1"/>
    <xf numFmtId="0" fontId="29" fillId="0" borderId="144" xfId="0" applyFont="1" applyBorder="1" applyAlignment="1">
      <alignment horizontal="center" vertical="center" wrapText="1"/>
    </xf>
    <xf numFmtId="0" fontId="29" fillId="0" borderId="17" xfId="0" applyFont="1" applyBorder="1" applyAlignment="1">
      <alignment horizontal="center" vertical="center" wrapText="1"/>
    </xf>
    <xf numFmtId="0" fontId="29" fillId="0" borderId="18" xfId="0" applyFont="1" applyBorder="1" applyAlignment="1">
      <alignment horizontal="center" vertical="center" wrapText="1"/>
    </xf>
    <xf numFmtId="4" fontId="17" fillId="0" borderId="112" xfId="0" applyNumberFormat="1" applyFont="1" applyBorder="1" applyAlignment="1">
      <alignment horizontal="center" vertical="center" wrapText="1"/>
    </xf>
    <xf numFmtId="0" fontId="17" fillId="0" borderId="22" xfId="0" applyFont="1" applyBorder="1" applyAlignment="1">
      <alignment horizontal="center" vertical="center" wrapText="1"/>
    </xf>
    <xf numFmtId="3" fontId="17" fillId="0" borderId="23" xfId="0" applyNumberFormat="1" applyFont="1" applyBorder="1" applyAlignment="1">
      <alignment horizontal="center" vertical="center" wrapText="1"/>
    </xf>
    <xf numFmtId="4" fontId="17" fillId="0" borderId="108" xfId="0" applyNumberFormat="1" applyFont="1" applyBorder="1" applyAlignment="1">
      <alignment horizontal="center" vertical="center" wrapText="1"/>
    </xf>
    <xf numFmtId="3" fontId="17" fillId="0" borderId="27" xfId="0" applyNumberFormat="1" applyFont="1" applyBorder="1" applyAlignment="1">
      <alignment horizontal="center" vertical="center" wrapText="1"/>
    </xf>
    <xf numFmtId="3" fontId="17" fillId="0" borderId="28" xfId="0" applyNumberFormat="1" applyFont="1" applyBorder="1" applyAlignment="1">
      <alignment horizontal="center" vertical="center" wrapText="1"/>
    </xf>
    <xf numFmtId="0" fontId="17" fillId="0" borderId="27" xfId="0" applyFont="1" applyBorder="1" applyAlignment="1">
      <alignment horizontal="center" vertical="center" wrapText="1"/>
    </xf>
    <xf numFmtId="0" fontId="16" fillId="4" borderId="107" xfId="0" applyFont="1" applyFill="1" applyBorder="1" applyAlignment="1">
      <alignment horizontal="center" vertical="center" wrapText="1"/>
    </xf>
    <xf numFmtId="3" fontId="16" fillId="4" borderId="35" xfId="0" applyNumberFormat="1" applyFont="1" applyFill="1" applyBorder="1" applyAlignment="1">
      <alignment horizontal="center" vertical="center" wrapText="1"/>
    </xf>
    <xf numFmtId="3" fontId="16" fillId="4" borderId="36" xfId="0" applyNumberFormat="1" applyFont="1" applyFill="1" applyBorder="1" applyAlignment="1">
      <alignment horizontal="center" vertical="center" wrapText="1"/>
    </xf>
    <xf numFmtId="0" fontId="0" fillId="0" borderId="30" xfId="0" applyBorder="1" applyAlignment="1">
      <alignment vertical="center" wrapText="1"/>
    </xf>
    <xf numFmtId="0" fontId="29" fillId="0" borderId="145" xfId="0" applyFont="1" applyBorder="1" applyAlignment="1">
      <alignment horizontal="center" vertical="center" wrapText="1"/>
    </xf>
    <xf numFmtId="3" fontId="17" fillId="0" borderId="108" xfId="0" applyNumberFormat="1" applyFont="1" applyBorder="1" applyAlignment="1">
      <alignment horizontal="center" vertical="center" wrapText="1"/>
    </xf>
    <xf numFmtId="0" fontId="46" fillId="0" borderId="0" xfId="0" applyFont="1"/>
    <xf numFmtId="3" fontId="0" fillId="9" borderId="56" xfId="0" applyNumberFormat="1" applyFill="1" applyBorder="1"/>
    <xf numFmtId="0" fontId="38" fillId="0" borderId="0" xfId="0" applyFont="1"/>
    <xf numFmtId="0" fontId="5" fillId="0" borderId="19" xfId="0" applyFont="1" applyBorder="1" applyAlignment="1">
      <alignment horizontal="center" vertical="center" wrapText="1"/>
    </xf>
    <xf numFmtId="9" fontId="0" fillId="0" borderId="0" xfId="0" applyNumberFormat="1"/>
    <xf numFmtId="9" fontId="1" fillId="0" borderId="22" xfId="0" applyNumberFormat="1" applyFont="1" applyBorder="1" applyAlignment="1">
      <alignment horizontal="center" vertical="center" wrapText="1"/>
    </xf>
    <xf numFmtId="10" fontId="1" fillId="0" borderId="23" xfId="0" applyNumberFormat="1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9" fontId="1" fillId="0" borderId="35" xfId="0" applyNumberFormat="1" applyFont="1" applyBorder="1" applyAlignment="1">
      <alignment horizontal="center" vertical="center" wrapText="1"/>
    </xf>
    <xf numFmtId="10" fontId="1" fillId="0" borderId="36" xfId="0" applyNumberFormat="1" applyFont="1" applyBorder="1" applyAlignment="1">
      <alignment horizontal="center" vertical="center" wrapText="1"/>
    </xf>
    <xf numFmtId="0" fontId="0" fillId="0" borderId="0" xfId="0" applyAlignment="1"/>
    <xf numFmtId="0" fontId="0" fillId="0" borderId="56" xfId="0" applyFill="1" applyBorder="1"/>
    <xf numFmtId="0" fontId="25" fillId="0" borderId="0" xfId="0" applyFont="1"/>
    <xf numFmtId="9" fontId="0" fillId="0" borderId="56" xfId="1" applyFont="1" applyBorder="1" applyAlignment="1"/>
    <xf numFmtId="9" fontId="0" fillId="11" borderId="56" xfId="1" applyFont="1" applyFill="1" applyBorder="1" applyAlignment="1"/>
    <xf numFmtId="9" fontId="12" fillId="11" borderId="56" xfId="1" applyFont="1" applyFill="1" applyBorder="1" applyAlignment="1"/>
    <xf numFmtId="10" fontId="12" fillId="0" borderId="0" xfId="1" applyNumberFormat="1" applyFont="1" applyAlignment="1"/>
    <xf numFmtId="0" fontId="0" fillId="0" borderId="56" xfId="1" applyNumberFormat="1" applyFont="1" applyBorder="1" applyAlignment="1"/>
    <xf numFmtId="0" fontId="0" fillId="11" borderId="56" xfId="1" applyNumberFormat="1" applyFont="1" applyFill="1" applyBorder="1" applyAlignment="1"/>
    <xf numFmtId="0" fontId="0" fillId="0" borderId="56" xfId="1" applyNumberFormat="1" applyFont="1" applyFill="1" applyBorder="1" applyAlignment="1"/>
    <xf numFmtId="9" fontId="0" fillId="0" borderId="56" xfId="1" applyFont="1" applyFill="1" applyBorder="1" applyAlignment="1"/>
    <xf numFmtId="9" fontId="47" fillId="11" borderId="56" xfId="1" applyFont="1" applyFill="1" applyBorder="1" applyAlignment="1"/>
    <xf numFmtId="0" fontId="12" fillId="3" borderId="56" xfId="0" applyFont="1" applyFill="1" applyBorder="1"/>
    <xf numFmtId="0" fontId="12" fillId="3" borderId="89" xfId="0" applyFont="1" applyFill="1" applyBorder="1"/>
    <xf numFmtId="0" fontId="12" fillId="3" borderId="90" xfId="0" applyFont="1" applyFill="1" applyBorder="1"/>
    <xf numFmtId="0" fontId="12" fillId="3" borderId="95" xfId="0" applyFont="1" applyFill="1" applyBorder="1"/>
    <xf numFmtId="0" fontId="12" fillId="3" borderId="131" xfId="0" applyFont="1" applyFill="1" applyBorder="1"/>
    <xf numFmtId="3" fontId="1" fillId="3" borderId="35" xfId="0" applyNumberFormat="1" applyFont="1" applyFill="1" applyBorder="1" applyAlignment="1">
      <alignment horizontal="center" vertical="center" wrapText="1"/>
    </xf>
    <xf numFmtId="3" fontId="1" fillId="3" borderId="36" xfId="0" applyNumberFormat="1" applyFont="1" applyFill="1" applyBorder="1" applyAlignment="1">
      <alignment horizontal="center" vertical="center" wrapText="1"/>
    </xf>
    <xf numFmtId="9" fontId="0" fillId="9" borderId="56" xfId="1" applyFont="1" applyFill="1" applyBorder="1" applyAlignment="1"/>
    <xf numFmtId="178" fontId="0" fillId="0" borderId="0" xfId="0" applyNumberFormat="1"/>
    <xf numFmtId="0" fontId="0" fillId="11" borderId="86" xfId="0" applyFill="1" applyBorder="1"/>
    <xf numFmtId="178" fontId="0" fillId="11" borderId="86" xfId="1" applyNumberFormat="1" applyFont="1" applyFill="1" applyBorder="1" applyAlignment="1"/>
    <xf numFmtId="0" fontId="12" fillId="11" borderId="122" xfId="0" applyFont="1" applyFill="1" applyBorder="1"/>
    <xf numFmtId="0" fontId="12" fillId="11" borderId="147" xfId="0" applyFont="1" applyFill="1" applyBorder="1"/>
    <xf numFmtId="0" fontId="12" fillId="11" borderId="125" xfId="0" applyFont="1" applyFill="1" applyBorder="1"/>
    <xf numFmtId="0" fontId="12" fillId="11" borderId="126" xfId="0" applyFont="1" applyFill="1" applyBorder="1"/>
    <xf numFmtId="0" fontId="0" fillId="3" borderId="86" xfId="0" applyFill="1" applyBorder="1"/>
    <xf numFmtId="0" fontId="12" fillId="3" borderId="122" xfId="0" applyFont="1" applyFill="1" applyBorder="1"/>
    <xf numFmtId="0" fontId="12" fillId="3" borderId="147" xfId="0" applyFont="1" applyFill="1" applyBorder="1"/>
    <xf numFmtId="178" fontId="0" fillId="3" borderId="86" xfId="1" applyNumberFormat="1" applyFont="1" applyFill="1" applyBorder="1" applyAlignment="1"/>
    <xf numFmtId="0" fontId="12" fillId="3" borderId="125" xfId="0" applyFont="1" applyFill="1" applyBorder="1"/>
    <xf numFmtId="0" fontId="12" fillId="3" borderId="126" xfId="0" applyFont="1" applyFill="1" applyBorder="1"/>
    <xf numFmtId="0" fontId="0" fillId="12" borderId="0" xfId="0" applyFill="1"/>
    <xf numFmtId="0" fontId="38" fillId="12" borderId="0" xfId="0" applyFont="1" applyFill="1"/>
    <xf numFmtId="0" fontId="41" fillId="12" borderId="0" xfId="0" applyFont="1" applyFill="1"/>
    <xf numFmtId="0" fontId="12" fillId="13" borderId="98" xfId="0" applyFont="1" applyFill="1" applyBorder="1"/>
    <xf numFmtId="0" fontId="12" fillId="13" borderId="148" xfId="0" applyFont="1" applyFill="1" applyBorder="1"/>
    <xf numFmtId="0" fontId="0" fillId="13" borderId="56" xfId="0" applyFill="1" applyBorder="1"/>
    <xf numFmtId="176" fontId="12" fillId="13" borderId="0" xfId="0" applyNumberFormat="1" applyFont="1" applyFill="1" applyBorder="1"/>
    <xf numFmtId="176" fontId="12" fillId="13" borderId="98" xfId="0" applyNumberFormat="1" applyFont="1" applyFill="1" applyBorder="1"/>
    <xf numFmtId="0" fontId="0" fillId="13" borderId="0" xfId="0" applyFill="1"/>
    <xf numFmtId="1" fontId="12" fillId="13" borderId="56" xfId="0" applyNumberFormat="1" applyFont="1" applyFill="1" applyBorder="1"/>
    <xf numFmtId="1" fontId="12" fillId="13" borderId="0" xfId="0" applyNumberFormat="1" applyFont="1" applyFill="1"/>
    <xf numFmtId="0" fontId="1" fillId="13" borderId="56" xfId="0" applyFont="1" applyFill="1" applyBorder="1" applyAlignment="1">
      <alignment horizontal="center" vertical="center" wrapText="1"/>
    </xf>
    <xf numFmtId="3" fontId="1" fillId="13" borderId="56" xfId="0" applyNumberFormat="1" applyFont="1" applyFill="1" applyBorder="1" applyAlignment="1">
      <alignment horizontal="center" vertical="center" wrapText="1"/>
    </xf>
    <xf numFmtId="0" fontId="14" fillId="13" borderId="56" xfId="0" applyFont="1" applyFill="1" applyBorder="1" applyAlignment="1">
      <alignment horizontal="center" vertical="center" wrapText="1"/>
    </xf>
    <xf numFmtId="3" fontId="14" fillId="13" borderId="56" xfId="0" applyNumberFormat="1" applyFont="1" applyFill="1" applyBorder="1" applyAlignment="1">
      <alignment horizontal="center" vertical="center" wrapText="1"/>
    </xf>
    <xf numFmtId="181" fontId="0" fillId="0" borderId="0" xfId="0" applyNumberFormat="1" applyAlignment="1">
      <alignment vertical="center"/>
    </xf>
    <xf numFmtId="182" fontId="0" fillId="0" borderId="0" xfId="0" applyNumberFormat="1" applyAlignment="1">
      <alignment vertical="center"/>
    </xf>
    <xf numFmtId="0" fontId="0" fillId="14" borderId="0" xfId="0" applyFill="1"/>
    <xf numFmtId="0" fontId="12" fillId="14" borderId="131" xfId="0" applyFont="1" applyFill="1" applyBorder="1"/>
    <xf numFmtId="176" fontId="12" fillId="14" borderId="0" xfId="0" applyNumberFormat="1" applyFont="1" applyFill="1" applyBorder="1"/>
    <xf numFmtId="176" fontId="12" fillId="14" borderId="98" xfId="0" applyNumberFormat="1" applyFont="1" applyFill="1" applyBorder="1"/>
    <xf numFmtId="0" fontId="12" fillId="14" borderId="132" xfId="0" applyFont="1" applyFill="1" applyBorder="1"/>
    <xf numFmtId="0" fontId="12" fillId="14" borderId="89" xfId="0" applyFont="1" applyFill="1" applyBorder="1"/>
    <xf numFmtId="0" fontId="12" fillId="14" borderId="90" xfId="0" applyFont="1" applyFill="1" applyBorder="1"/>
    <xf numFmtId="0" fontId="12" fillId="14" borderId="95" xfId="0" applyFont="1" applyFill="1" applyBorder="1"/>
    <xf numFmtId="0" fontId="0" fillId="14" borderId="56" xfId="0" applyFill="1" applyBorder="1"/>
    <xf numFmtId="0" fontId="12" fillId="14" borderId="56" xfId="0" applyFont="1" applyFill="1" applyBorder="1"/>
    <xf numFmtId="1" fontId="12" fillId="14" borderId="56" xfId="0" applyNumberFormat="1" applyFont="1" applyFill="1" applyBorder="1"/>
    <xf numFmtId="1" fontId="0" fillId="14" borderId="0" xfId="0" applyNumberFormat="1" applyFill="1"/>
    <xf numFmtId="0" fontId="12" fillId="14" borderId="138" xfId="0" applyFont="1" applyFill="1" applyBorder="1"/>
    <xf numFmtId="0" fontId="38" fillId="7" borderId="0" xfId="2" applyFont="1" applyFill="1">
      <alignment vertical="center"/>
    </xf>
    <xf numFmtId="0" fontId="48" fillId="7" borderId="0" xfId="2" applyFill="1">
      <alignment vertical="center"/>
    </xf>
    <xf numFmtId="0" fontId="48" fillId="0" borderId="0" xfId="2">
      <alignment vertical="center"/>
    </xf>
    <xf numFmtId="0" fontId="12" fillId="3" borderId="0" xfId="2" applyFont="1" applyFill="1">
      <alignment vertical="center"/>
    </xf>
    <xf numFmtId="0" fontId="48" fillId="0" borderId="0" xfId="2" applyAlignment="1">
      <alignment vertical="center" wrapText="1"/>
    </xf>
    <xf numFmtId="0" fontId="48" fillId="0" borderId="0" xfId="2" quotePrefix="1">
      <alignment vertical="center"/>
    </xf>
    <xf numFmtId="1" fontId="0" fillId="15" borderId="0" xfId="0" applyNumberFormat="1" applyFill="1"/>
    <xf numFmtId="0" fontId="0" fillId="15" borderId="0" xfId="0" applyFill="1"/>
    <xf numFmtId="0" fontId="12" fillId="0" borderId="0" xfId="0" applyFont="1" applyAlignment="1">
      <alignment vertical="center"/>
    </xf>
    <xf numFmtId="182" fontId="0" fillId="0" borderId="0" xfId="0" quotePrefix="1" applyNumberFormat="1" applyAlignment="1">
      <alignment vertical="center"/>
    </xf>
    <xf numFmtId="0" fontId="0" fillId="16" borderId="56" xfId="0" applyFill="1" applyBorder="1"/>
    <xf numFmtId="0" fontId="0" fillId="16" borderId="56" xfId="1" applyNumberFormat="1" applyFont="1" applyFill="1" applyBorder="1" applyAlignment="1"/>
    <xf numFmtId="9" fontId="0" fillId="16" borderId="56" xfId="1" applyFont="1" applyFill="1" applyBorder="1" applyAlignment="1"/>
    <xf numFmtId="0" fontId="12" fillId="10" borderId="133" xfId="0" applyFont="1" applyFill="1" applyBorder="1" applyAlignment="1">
      <alignment horizontal="center" vertical="center"/>
    </xf>
    <xf numFmtId="0" fontId="12" fillId="10" borderId="134" xfId="0" applyFont="1" applyFill="1" applyBorder="1" applyAlignment="1">
      <alignment horizontal="center" vertical="center"/>
    </xf>
    <xf numFmtId="0" fontId="12" fillId="10" borderId="136" xfId="0" applyFont="1" applyFill="1" applyBorder="1" applyAlignment="1">
      <alignment horizontal="center" vertical="center"/>
    </xf>
    <xf numFmtId="0" fontId="12" fillId="10" borderId="135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12" fillId="8" borderId="133" xfId="0" applyFont="1" applyFill="1" applyBorder="1" applyAlignment="1">
      <alignment horizontal="center" vertical="center"/>
    </xf>
    <xf numFmtId="0" fontId="12" fillId="8" borderId="134" xfId="0" applyFont="1" applyFill="1" applyBorder="1" applyAlignment="1">
      <alignment horizontal="center" vertical="center"/>
    </xf>
    <xf numFmtId="0" fontId="12" fillId="8" borderId="136" xfId="0" applyFont="1" applyFill="1" applyBorder="1" applyAlignment="1">
      <alignment horizontal="center" vertical="center"/>
    </xf>
    <xf numFmtId="0" fontId="12" fillId="10" borderId="137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29" fillId="0" borderId="1" xfId="0" applyFont="1" applyBorder="1" applyAlignment="1">
      <alignment horizontal="center" vertical="center" wrapText="1"/>
    </xf>
    <xf numFmtId="0" fontId="29" fillId="0" borderId="142" xfId="0" applyFont="1" applyBorder="1" applyAlignment="1">
      <alignment horizontal="center" vertical="center" wrapText="1"/>
    </xf>
    <xf numFmtId="0" fontId="29" fillId="0" borderId="5" xfId="0" applyFont="1" applyBorder="1" applyAlignment="1">
      <alignment horizontal="center" vertical="center" wrapText="1"/>
    </xf>
    <xf numFmtId="0" fontId="29" fillId="0" borderId="143" xfId="0" applyFont="1" applyBorder="1" applyAlignment="1">
      <alignment horizontal="center" vertical="center" wrapText="1"/>
    </xf>
    <xf numFmtId="0" fontId="16" fillId="0" borderId="37" xfId="0" applyFont="1" applyBorder="1" applyAlignment="1">
      <alignment horizontal="center" vertical="center" wrapText="1"/>
    </xf>
    <xf numFmtId="0" fontId="16" fillId="0" borderId="38" xfId="0" applyFont="1" applyBorder="1" applyAlignment="1">
      <alignment horizontal="center" vertical="center" wrapText="1"/>
    </xf>
    <xf numFmtId="0" fontId="16" fillId="0" borderId="39" xfId="0" applyFont="1" applyBorder="1" applyAlignment="1">
      <alignment horizontal="center" vertical="center" wrapText="1"/>
    </xf>
    <xf numFmtId="0" fontId="16" fillId="4" borderId="33" xfId="0" applyFont="1" applyFill="1" applyBorder="1" applyAlignment="1">
      <alignment horizontal="center" vertical="center" wrapText="1"/>
    </xf>
    <xf numFmtId="0" fontId="16" fillId="4" borderId="146" xfId="0" applyFont="1" applyFill="1" applyBorder="1" applyAlignment="1">
      <alignment horizontal="center" vertical="center" wrapText="1"/>
    </xf>
    <xf numFmtId="0" fontId="29" fillId="0" borderId="144" xfId="0" applyFont="1" applyBorder="1" applyAlignment="1">
      <alignment horizontal="center" vertical="center" wrapText="1"/>
    </xf>
    <xf numFmtId="0" fontId="29" fillId="0" borderId="145" xfId="0" applyFont="1" applyBorder="1" applyAlignment="1">
      <alignment horizontal="center" vertical="center" wrapText="1"/>
    </xf>
    <xf numFmtId="0" fontId="29" fillId="4" borderId="33" xfId="0" applyFont="1" applyFill="1" applyBorder="1" applyAlignment="1">
      <alignment horizontal="center" vertical="center" wrapText="1"/>
    </xf>
    <xf numFmtId="0" fontId="29" fillId="4" borderId="146" xfId="0" applyFont="1" applyFill="1" applyBorder="1" applyAlignment="1">
      <alignment horizontal="center" vertical="center" wrapText="1"/>
    </xf>
    <xf numFmtId="0" fontId="17" fillId="0" borderId="118" xfId="0" applyFont="1" applyBorder="1" applyAlignment="1">
      <alignment horizontal="center" vertical="center" wrapText="1"/>
    </xf>
    <xf numFmtId="0" fontId="17" fillId="0" borderId="119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31" fillId="0" borderId="79" xfId="0" applyFont="1" applyBorder="1" applyAlignment="1">
      <alignment horizontal="center" vertical="center" wrapText="1"/>
    </xf>
    <xf numFmtId="0" fontId="31" fillId="0" borderId="29" xfId="0" applyFont="1" applyBorder="1" applyAlignment="1">
      <alignment horizontal="center" vertical="center" wrapText="1"/>
    </xf>
    <xf numFmtId="0" fontId="31" fillId="0" borderId="30" xfId="0" applyFont="1" applyBorder="1" applyAlignment="1">
      <alignment horizontal="center" vertical="center" wrapText="1"/>
    </xf>
    <xf numFmtId="0" fontId="31" fillId="0" borderId="64" xfId="0" applyFont="1" applyBorder="1" applyAlignment="1">
      <alignment horizontal="center" vertical="center" wrapText="1"/>
    </xf>
    <xf numFmtId="0" fontId="31" fillId="0" borderId="114" xfId="0" applyFont="1" applyBorder="1" applyAlignment="1">
      <alignment horizontal="center" vertical="center" wrapText="1"/>
    </xf>
    <xf numFmtId="0" fontId="31" fillId="0" borderId="115" xfId="0" applyFont="1" applyBorder="1" applyAlignment="1">
      <alignment horizontal="center" vertical="center" wrapText="1"/>
    </xf>
    <xf numFmtId="0" fontId="17" fillId="0" borderId="116" xfId="0" applyFont="1" applyBorder="1" applyAlignment="1">
      <alignment horizontal="center" vertical="center" wrapText="1"/>
    </xf>
    <xf numFmtId="0" fontId="17" fillId="0" borderId="117" xfId="0" applyFont="1" applyBorder="1" applyAlignment="1">
      <alignment horizontal="center" vertical="center" wrapText="1"/>
    </xf>
    <xf numFmtId="0" fontId="29" fillId="0" borderId="58" xfId="0" applyFont="1" applyBorder="1" applyAlignment="1">
      <alignment horizontal="center" vertical="center" wrapText="1"/>
    </xf>
    <xf numFmtId="0" fontId="29" fillId="0" borderId="83" xfId="0" applyFont="1" applyBorder="1" applyAlignment="1">
      <alignment horizontal="center" vertical="center" wrapText="1"/>
    </xf>
    <xf numFmtId="0" fontId="29" fillId="0" borderId="109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31" fillId="0" borderId="31" xfId="0" applyFont="1" applyBorder="1" applyAlignment="1">
      <alignment horizontal="center" vertical="center" wrapText="1"/>
    </xf>
    <xf numFmtId="0" fontId="12" fillId="5" borderId="139" xfId="0" applyFont="1" applyFill="1" applyBorder="1" applyAlignment="1">
      <alignment horizontal="center"/>
    </xf>
    <xf numFmtId="0" fontId="12" fillId="5" borderId="140" xfId="0" applyFont="1" applyFill="1" applyBorder="1" applyAlignment="1">
      <alignment horizontal="center"/>
    </xf>
    <xf numFmtId="0" fontId="22" fillId="6" borderId="37" xfId="0" applyFont="1" applyFill="1" applyBorder="1" applyAlignment="1">
      <alignment horizontal="center" vertical="center" wrapText="1"/>
    </xf>
    <xf numFmtId="0" fontId="22" fillId="6" borderId="38" xfId="0" applyFont="1" applyFill="1" applyBorder="1" applyAlignment="1">
      <alignment horizontal="center" vertical="center" wrapText="1"/>
    </xf>
    <xf numFmtId="0" fontId="22" fillId="6" borderId="45" xfId="0" applyFont="1" applyFill="1" applyBorder="1" applyAlignment="1">
      <alignment horizontal="center" vertical="center" wrapText="1"/>
    </xf>
    <xf numFmtId="0" fontId="22" fillId="6" borderId="76" xfId="0" applyFont="1" applyFill="1" applyBorder="1" applyAlignment="1">
      <alignment horizontal="center" vertical="center" wrapText="1"/>
    </xf>
    <xf numFmtId="0" fontId="22" fillId="6" borderId="77" xfId="0" applyFont="1" applyFill="1" applyBorder="1" applyAlignment="1">
      <alignment horizontal="center" vertical="center" wrapText="1"/>
    </xf>
    <xf numFmtId="0" fontId="22" fillId="6" borderId="89" xfId="0" applyFont="1" applyFill="1" applyBorder="1" applyAlignment="1">
      <alignment horizontal="center" vertical="center" wrapText="1"/>
    </xf>
    <xf numFmtId="0" fontId="22" fillId="6" borderId="90" xfId="0" applyFont="1" applyFill="1" applyBorder="1" applyAlignment="1">
      <alignment horizontal="center" vertical="center" wrapText="1"/>
    </xf>
    <xf numFmtId="0" fontId="22" fillId="6" borderId="91" xfId="0" applyFont="1" applyFill="1" applyBorder="1" applyAlignment="1">
      <alignment horizontal="center" vertical="center" wrapText="1"/>
    </xf>
    <xf numFmtId="0" fontId="22" fillId="6" borderId="96" xfId="0" applyFont="1" applyFill="1" applyBorder="1" applyAlignment="1">
      <alignment horizontal="center" vertical="center" wrapText="1"/>
    </xf>
    <xf numFmtId="0" fontId="22" fillId="6" borderId="51" xfId="0" applyFont="1" applyFill="1" applyBorder="1" applyAlignment="1">
      <alignment horizontal="center" vertical="center" wrapText="1"/>
    </xf>
    <xf numFmtId="0" fontId="22" fillId="6" borderId="6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horizontal="center" vertical="center" wrapText="1"/>
    </xf>
    <xf numFmtId="0" fontId="23" fillId="0" borderId="41" xfId="0" applyFont="1" applyBorder="1" applyAlignment="1">
      <alignment horizontal="center" vertical="center" wrapText="1"/>
    </xf>
    <xf numFmtId="0" fontId="23" fillId="0" borderId="101" xfId="0" applyFont="1" applyBorder="1" applyAlignment="1">
      <alignment horizontal="center" vertical="center" wrapText="1"/>
    </xf>
    <xf numFmtId="0" fontId="23" fillId="0" borderId="102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3" fillId="0" borderId="26" xfId="0" applyFont="1" applyBorder="1" applyAlignment="1">
      <alignment horizontal="center" vertical="center" wrapText="1"/>
    </xf>
    <xf numFmtId="0" fontId="23" fillId="0" borderId="54" xfId="0" applyFont="1" applyBorder="1" applyAlignment="1">
      <alignment horizontal="center" vertical="center" wrapText="1"/>
    </xf>
    <xf numFmtId="0" fontId="23" fillId="0" borderId="46" xfId="0" applyFont="1" applyBorder="1" applyAlignment="1">
      <alignment horizontal="center" vertical="center" wrapText="1"/>
    </xf>
    <xf numFmtId="0" fontId="23" fillId="0" borderId="85" xfId="0" applyFont="1" applyBorder="1" applyAlignment="1">
      <alignment horizontal="center" vertical="center" wrapText="1"/>
    </xf>
    <xf numFmtId="0" fontId="23" fillId="0" borderId="53" xfId="0" applyFont="1" applyBorder="1" applyAlignment="1">
      <alignment horizontal="center" vertical="center" wrapText="1"/>
    </xf>
    <xf numFmtId="0" fontId="23" fillId="0" borderId="48" xfId="0" applyFont="1" applyBorder="1" applyAlignment="1">
      <alignment horizontal="center" vertical="center" wrapText="1"/>
    </xf>
    <xf numFmtId="0" fontId="23" fillId="0" borderId="34" xfId="0" applyFont="1" applyBorder="1" applyAlignment="1">
      <alignment horizontal="center" vertical="center" wrapText="1"/>
    </xf>
    <xf numFmtId="0" fontId="22" fillId="6" borderId="58" xfId="0" applyFont="1" applyFill="1" applyBorder="1" applyAlignment="1">
      <alignment horizontal="center" vertical="center" wrapText="1"/>
    </xf>
    <xf numFmtId="0" fontId="22" fillId="6" borderId="83" xfId="0" applyFont="1" applyFill="1" applyBorder="1" applyAlignment="1">
      <alignment horizontal="center" vertical="center" wrapText="1"/>
    </xf>
    <xf numFmtId="0" fontId="22" fillId="6" borderId="59" xfId="0" applyFont="1" applyFill="1" applyBorder="1" applyAlignment="1">
      <alignment horizontal="center" vertical="center" wrapText="1"/>
    </xf>
    <xf numFmtId="0" fontId="23" fillId="0" borderId="81" xfId="0" applyFont="1" applyBorder="1" applyAlignment="1">
      <alignment horizontal="center" vertical="center" wrapText="1"/>
    </xf>
    <xf numFmtId="0" fontId="1" fillId="0" borderId="62" xfId="0" applyFont="1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 wrapText="1"/>
    </xf>
    <xf numFmtId="0" fontId="1" fillId="0" borderId="43" xfId="0" applyFont="1" applyBorder="1" applyAlignment="1">
      <alignment horizontal="center" vertical="center" wrapText="1"/>
    </xf>
    <xf numFmtId="0" fontId="1" fillId="0" borderId="64" xfId="0" applyFont="1" applyBorder="1" applyAlignment="1">
      <alignment horizontal="center" vertical="center" wrapText="1"/>
    </xf>
    <xf numFmtId="0" fontId="23" fillId="0" borderId="37" xfId="0" applyFont="1" applyBorder="1" applyAlignment="1">
      <alignment horizontal="center" vertical="center" wrapText="1"/>
    </xf>
    <xf numFmtId="0" fontId="23" fillId="0" borderId="38" xfId="0" applyFont="1" applyBorder="1" applyAlignment="1">
      <alignment horizontal="center" vertical="center" wrapText="1"/>
    </xf>
    <xf numFmtId="0" fontId="23" fillId="0" borderId="45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11" xfId="0" applyFont="1" applyBorder="1" applyAlignment="1">
      <alignment horizontal="center" vertical="center" wrapText="1"/>
    </xf>
    <xf numFmtId="0" fontId="23" fillId="0" borderId="12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23" fillId="0" borderId="86" xfId="0" applyFont="1" applyBorder="1" applyAlignment="1">
      <alignment horizontal="center" vertical="center" wrapText="1"/>
    </xf>
    <xf numFmtId="0" fontId="23" fillId="0" borderId="87" xfId="0" applyFont="1" applyBorder="1" applyAlignment="1">
      <alignment horizontal="center" vertical="center" wrapText="1"/>
    </xf>
    <xf numFmtId="0" fontId="23" fillId="0" borderId="88" xfId="0" applyFont="1" applyBorder="1" applyAlignment="1">
      <alignment horizontal="center" vertical="center" wrapText="1"/>
    </xf>
    <xf numFmtId="0" fontId="22" fillId="6" borderId="1" xfId="0" applyFont="1" applyFill="1" applyBorder="1" applyAlignment="1">
      <alignment horizontal="center" vertical="center" wrapText="1"/>
    </xf>
    <xf numFmtId="0" fontId="22" fillId="6" borderId="13" xfId="0" applyFont="1" applyFill="1" applyBorder="1" applyAlignment="1">
      <alignment horizontal="center" vertical="center" wrapText="1"/>
    </xf>
    <xf numFmtId="0" fontId="22" fillId="6" borderId="2" xfId="0" applyFont="1" applyFill="1" applyBorder="1" applyAlignment="1">
      <alignment horizontal="center" vertical="center" wrapText="1"/>
    </xf>
    <xf numFmtId="0" fontId="22" fillId="6" borderId="5" xfId="0" applyFont="1" applyFill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23" fillId="0" borderId="50" xfId="0" applyFont="1" applyBorder="1" applyAlignment="1">
      <alignment horizontal="center" vertical="center" wrapText="1"/>
    </xf>
    <xf numFmtId="0" fontId="23" fillId="0" borderId="78" xfId="0" applyFont="1" applyBorder="1" applyAlignment="1">
      <alignment horizontal="center" vertical="center" wrapText="1"/>
    </xf>
    <xf numFmtId="0" fontId="23" fillId="0" borderId="21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13" fillId="4" borderId="86" xfId="0" applyFont="1" applyFill="1" applyBorder="1" applyAlignment="1">
      <alignment horizontal="center" vertical="center" wrapText="1"/>
    </xf>
    <xf numFmtId="0" fontId="13" fillId="4" borderId="88" xfId="0" applyFont="1" applyFill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14" fillId="0" borderId="46" xfId="0" applyFont="1" applyBorder="1" applyAlignment="1">
      <alignment horizontal="center" vertical="center" wrapText="1"/>
    </xf>
    <xf numFmtId="0" fontId="14" fillId="0" borderId="12" xfId="0" applyFont="1" applyBorder="1" applyAlignment="1">
      <alignment horizontal="center" vertical="center" wrapText="1"/>
    </xf>
    <xf numFmtId="0" fontId="14" fillId="0" borderId="53" xfId="0" applyFont="1" applyBorder="1" applyAlignment="1">
      <alignment horizontal="center" vertical="center" wrapText="1"/>
    </xf>
    <xf numFmtId="0" fontId="12" fillId="8" borderId="122" xfId="0" applyFont="1" applyFill="1" applyBorder="1" applyAlignment="1">
      <alignment horizontal="center" vertical="center"/>
    </xf>
    <xf numFmtId="0" fontId="12" fillId="8" borderId="123" xfId="0" applyFont="1" applyFill="1" applyBorder="1" applyAlignment="1">
      <alignment horizontal="center" vertical="center"/>
    </xf>
    <xf numFmtId="0" fontId="12" fillId="8" borderId="124" xfId="0" applyFont="1" applyFill="1" applyBorder="1" applyAlignment="1">
      <alignment horizontal="center" vertical="center"/>
    </xf>
    <xf numFmtId="0" fontId="12" fillId="10" borderId="123" xfId="0" applyFont="1" applyFill="1" applyBorder="1" applyAlignment="1">
      <alignment horizontal="center" vertical="center"/>
    </xf>
    <xf numFmtId="0" fontId="12" fillId="10" borderId="122" xfId="0" applyFont="1" applyFill="1" applyBorder="1" applyAlignment="1">
      <alignment horizontal="center" vertical="center"/>
    </xf>
    <xf numFmtId="0" fontId="13" fillId="4" borderId="13" xfId="0" applyFont="1" applyFill="1" applyBorder="1" applyAlignment="1">
      <alignment horizontal="center" vertical="center" wrapText="1"/>
    </xf>
    <xf numFmtId="0" fontId="13" fillId="4" borderId="2" xfId="0" applyFont="1" applyFill="1" applyBorder="1" applyAlignment="1">
      <alignment horizontal="center" vertical="center" wrapText="1"/>
    </xf>
    <xf numFmtId="0" fontId="13" fillId="4" borderId="51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37" xfId="0" applyFont="1" applyFill="1" applyBorder="1" applyAlignment="1">
      <alignment horizontal="center" vertical="center" wrapText="1"/>
    </xf>
    <xf numFmtId="0" fontId="13" fillId="4" borderId="38" xfId="0" applyFont="1" applyFill="1" applyBorder="1" applyAlignment="1">
      <alignment horizontal="center" vertical="center" wrapText="1"/>
    </xf>
    <xf numFmtId="0" fontId="14" fillId="0" borderId="52" xfId="0" applyFont="1" applyBorder="1" applyAlignment="1">
      <alignment horizontal="center" vertical="center" wrapText="1"/>
    </xf>
    <xf numFmtId="0" fontId="13" fillId="4" borderId="40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1" fillId="0" borderId="52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4" fillId="0" borderId="84" xfId="0" applyFont="1" applyBorder="1" applyAlignment="1">
      <alignment horizontal="center" vertical="center" wrapText="1"/>
    </xf>
    <xf numFmtId="0" fontId="14" fillId="0" borderId="8" xfId="0" applyFont="1" applyBorder="1" applyAlignment="1">
      <alignment horizontal="center" vertical="center" wrapText="1"/>
    </xf>
    <xf numFmtId="0" fontId="14" fillId="0" borderId="79" xfId="0" applyFont="1" applyBorder="1" applyAlignment="1">
      <alignment horizontal="center" vertical="center" wrapText="1"/>
    </xf>
    <xf numFmtId="0" fontId="14" fillId="0" borderId="47" xfId="0" applyFont="1" applyBorder="1" applyAlignment="1">
      <alignment horizontal="center" vertical="center" wrapText="1"/>
    </xf>
    <xf numFmtId="0" fontId="1" fillId="0" borderId="53" xfId="0" applyFont="1" applyBorder="1" applyAlignment="1">
      <alignment horizontal="center" vertical="center" wrapText="1"/>
    </xf>
    <xf numFmtId="0" fontId="14" fillId="0" borderId="80" xfId="0" applyFont="1" applyBorder="1" applyAlignment="1">
      <alignment horizontal="center" vertical="center" wrapText="1"/>
    </xf>
    <xf numFmtId="0" fontId="13" fillId="2" borderId="40" xfId="0" applyFont="1" applyFill="1" applyBorder="1" applyAlignment="1">
      <alignment horizontal="center" vertical="center" wrapText="1"/>
    </xf>
    <xf numFmtId="0" fontId="13" fillId="2" borderId="41" xfId="0" applyFont="1" applyFill="1" applyBorder="1" applyAlignment="1">
      <alignment horizontal="center" vertical="center" wrapText="1"/>
    </xf>
    <xf numFmtId="0" fontId="13" fillId="2" borderId="26" xfId="0" applyFont="1" applyFill="1" applyBorder="1" applyAlignment="1">
      <alignment horizontal="center" vertical="center" wrapText="1"/>
    </xf>
    <xf numFmtId="0" fontId="13" fillId="2" borderId="54" xfId="0" applyFont="1" applyFill="1" applyBorder="1" applyAlignment="1">
      <alignment horizontal="center" vertical="center" wrapText="1"/>
    </xf>
    <xf numFmtId="0" fontId="13" fillId="2" borderId="55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 wrapText="1"/>
    </xf>
    <xf numFmtId="0" fontId="13" fillId="2" borderId="15" xfId="0" applyFont="1" applyFill="1" applyBorder="1" applyAlignment="1">
      <alignment horizontal="center" vertical="center" wrapText="1"/>
    </xf>
    <xf numFmtId="0" fontId="13" fillId="4" borderId="83" xfId="0" applyFont="1" applyFill="1" applyBorder="1" applyAlignment="1">
      <alignment horizontal="center" vertical="center" wrapText="1"/>
    </xf>
    <xf numFmtId="0" fontId="13" fillId="4" borderId="59" xfId="0" applyFont="1" applyFill="1" applyBorder="1" applyAlignment="1">
      <alignment horizontal="center" vertical="center" wrapText="1"/>
    </xf>
    <xf numFmtId="0" fontId="13" fillId="2" borderId="37" xfId="0" applyFont="1" applyFill="1" applyBorder="1" applyAlignment="1">
      <alignment horizontal="center" vertical="center" wrapText="1"/>
    </xf>
    <xf numFmtId="0" fontId="13" fillId="2" borderId="45" xfId="0" applyFont="1" applyFill="1" applyBorder="1" applyAlignment="1">
      <alignment horizontal="center" vertical="center" wrapText="1"/>
    </xf>
    <xf numFmtId="0" fontId="13" fillId="2" borderId="38" xfId="0" applyFont="1" applyFill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3" fillId="0" borderId="56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3" fillId="2" borderId="56" xfId="0" applyFont="1" applyFill="1" applyBorder="1" applyAlignment="1">
      <alignment horizontal="center" vertical="center" wrapText="1"/>
    </xf>
    <xf numFmtId="0" fontId="0" fillId="0" borderId="69" xfId="0" applyBorder="1" applyAlignment="1">
      <alignment horizontal="center" wrapText="1"/>
    </xf>
    <xf numFmtId="0" fontId="0" fillId="0" borderId="70" xfId="0" applyBorder="1" applyAlignment="1">
      <alignment horizontal="center"/>
    </xf>
    <xf numFmtId="0" fontId="0" fillId="0" borderId="71" xfId="0" applyBorder="1" applyAlignment="1">
      <alignment horizontal="center"/>
    </xf>
    <xf numFmtId="0" fontId="0" fillId="0" borderId="72" xfId="0" applyBorder="1" applyAlignment="1">
      <alignment horizontal="center"/>
    </xf>
    <xf numFmtId="0" fontId="0" fillId="0" borderId="73" xfId="0" applyBorder="1" applyAlignment="1">
      <alignment horizontal="center"/>
    </xf>
    <xf numFmtId="0" fontId="0" fillId="0" borderId="74" xfId="0" applyBorder="1" applyAlignment="1">
      <alignment horizontal="center"/>
    </xf>
    <xf numFmtId="0" fontId="5" fillId="2" borderId="37" xfId="0" applyFont="1" applyFill="1" applyBorder="1" applyAlignment="1">
      <alignment horizontal="center" vertical="center" wrapText="1"/>
    </xf>
    <xf numFmtId="0" fontId="5" fillId="2" borderId="38" xfId="0" applyFont="1" applyFill="1" applyBorder="1" applyAlignment="1">
      <alignment horizontal="center" vertical="center" wrapText="1"/>
    </xf>
    <xf numFmtId="0" fontId="5" fillId="2" borderId="39" xfId="0" applyFont="1" applyFill="1" applyBorder="1" applyAlignment="1">
      <alignment horizontal="center" vertical="center" wrapText="1"/>
    </xf>
    <xf numFmtId="9" fontId="1" fillId="0" borderId="47" xfId="0" applyNumberFormat="1" applyFont="1" applyBorder="1" applyAlignment="1">
      <alignment horizontal="center" vertical="center" wrapText="1"/>
    </xf>
    <xf numFmtId="9" fontId="1" fillId="0" borderId="79" xfId="0" applyNumberFormat="1" applyFont="1" applyBorder="1" applyAlignment="1">
      <alignment horizontal="center" vertical="center" wrapText="1"/>
    </xf>
    <xf numFmtId="10" fontId="1" fillId="0" borderId="118" xfId="0" applyNumberFormat="1" applyFont="1" applyBorder="1" applyAlignment="1">
      <alignment horizontal="center" vertical="center" wrapText="1"/>
    </xf>
    <xf numFmtId="10" fontId="1" fillId="0" borderId="119" xfId="0" applyNumberFormat="1" applyFont="1" applyBorder="1" applyAlignment="1">
      <alignment horizontal="center" vertical="center" wrapText="1"/>
    </xf>
    <xf numFmtId="0" fontId="12" fillId="0" borderId="56" xfId="0" applyFont="1" applyBorder="1" applyAlignment="1">
      <alignment horizontal="center"/>
    </xf>
    <xf numFmtId="0" fontId="3" fillId="2" borderId="43" xfId="0" applyFont="1" applyFill="1" applyBorder="1" applyAlignment="1">
      <alignment horizontal="center" vertical="center" wrapText="1"/>
    </xf>
    <xf numFmtId="0" fontId="3" fillId="2" borderId="44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33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3" fillId="2" borderId="76" xfId="0" applyFont="1" applyFill="1" applyBorder="1" applyAlignment="1">
      <alignment horizontal="center" vertical="center" wrapText="1"/>
    </xf>
    <xf numFmtId="0" fontId="3" fillId="2" borderId="77" xfId="0" applyFont="1" applyFill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31" xfId="0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0" fontId="4" fillId="2" borderId="40" xfId="0" applyFont="1" applyFill="1" applyBorder="1" applyAlignment="1">
      <alignment horizontal="center" vertical="center" wrapText="1"/>
    </xf>
    <xf numFmtId="0" fontId="4" fillId="2" borderId="41" xfId="0" applyFont="1" applyFill="1" applyBorder="1" applyAlignment="1">
      <alignment horizontal="center" vertical="center" wrapText="1"/>
    </xf>
    <xf numFmtId="0" fontId="4" fillId="2" borderId="42" xfId="0" applyFont="1" applyFill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1" xfId="0" applyFont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3" fillId="2" borderId="37" xfId="0" applyFont="1" applyFill="1" applyBorder="1" applyAlignment="1">
      <alignment horizontal="center" vertical="center" wrapText="1"/>
    </xf>
    <xf numFmtId="0" fontId="3" fillId="2" borderId="38" xfId="0" applyFont="1" applyFill="1" applyBorder="1" applyAlignment="1">
      <alignment horizontal="center" vertical="center" wrapText="1"/>
    </xf>
    <xf numFmtId="0" fontId="3" fillId="2" borderId="39" xfId="0" applyFont="1" applyFill="1" applyBorder="1" applyAlignment="1">
      <alignment horizontal="center" vertical="center" wrapText="1"/>
    </xf>
    <xf numFmtId="0" fontId="4" fillId="2" borderId="26" xfId="0" applyFont="1" applyFill="1" applyBorder="1" applyAlignment="1">
      <alignment horizontal="center" vertical="center" wrapText="1"/>
    </xf>
    <xf numFmtId="0" fontId="3" fillId="2" borderId="10" xfId="0" applyFont="1" applyFill="1" applyBorder="1" applyAlignment="1">
      <alignment horizontal="center" vertical="center" wrapText="1"/>
    </xf>
    <xf numFmtId="0" fontId="3" fillId="2" borderId="13" xfId="0" applyFont="1" applyFill="1" applyBorder="1" applyAlignment="1">
      <alignment horizontal="center" vertical="center" wrapText="1"/>
    </xf>
    <xf numFmtId="0" fontId="3" fillId="2" borderId="14" xfId="0" applyFont="1" applyFill="1" applyBorder="1" applyAlignment="1">
      <alignment horizontal="center" vertical="center" wrapText="1"/>
    </xf>
    <xf numFmtId="0" fontId="3" fillId="4" borderId="58" xfId="0" applyFont="1" applyFill="1" applyBorder="1" applyAlignment="1">
      <alignment horizontal="center" vertical="center" wrapText="1"/>
    </xf>
    <xf numFmtId="0" fontId="3" fillId="4" borderId="59" xfId="0" applyFont="1" applyFill="1" applyBorder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center" wrapText="1"/>
    </xf>
    <xf numFmtId="0" fontId="4" fillId="2" borderId="12" xfId="0" applyFont="1" applyFill="1" applyBorder="1" applyAlignment="1">
      <alignment horizontal="center" vertical="center" wrapText="1"/>
    </xf>
    <xf numFmtId="0" fontId="4" fillId="2" borderId="15" xfId="0" applyFont="1" applyFill="1" applyBorder="1" applyAlignment="1">
      <alignment horizontal="center" vertical="center" wrapText="1"/>
    </xf>
    <xf numFmtId="0" fontId="4" fillId="2" borderId="16" xfId="0" applyFont="1" applyFill="1" applyBorder="1" applyAlignment="1">
      <alignment horizontal="center" vertical="center" wrapText="1"/>
    </xf>
    <xf numFmtId="0" fontId="5" fillId="0" borderId="62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64" xfId="0" applyFont="1" applyBorder="1" applyAlignment="1">
      <alignment horizontal="center" vertical="center" wrapText="1"/>
    </xf>
    <xf numFmtId="0" fontId="0" fillId="8" borderId="56" xfId="0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5" fillId="0" borderId="130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13" fillId="4" borderId="4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0" fontId="15" fillId="4" borderId="4" xfId="0" applyFont="1" applyFill="1" applyBorder="1" applyAlignment="1">
      <alignment horizontal="center" vertical="center" wrapText="1"/>
    </xf>
    <xf numFmtId="0" fontId="15" fillId="4" borderId="6" xfId="0" applyFont="1" applyFill="1" applyBorder="1" applyAlignment="1">
      <alignment horizontal="center" vertical="center" wrapText="1"/>
    </xf>
    <xf numFmtId="0" fontId="16" fillId="4" borderId="37" xfId="0" applyFont="1" applyFill="1" applyBorder="1" applyAlignment="1">
      <alignment horizontal="center" vertical="center" wrapText="1"/>
    </xf>
    <xf numFmtId="0" fontId="16" fillId="4" borderId="38" xfId="0" applyFont="1" applyFill="1" applyBorder="1" applyAlignment="1">
      <alignment horizontal="center" vertical="center" wrapText="1"/>
    </xf>
    <xf numFmtId="0" fontId="16" fillId="4" borderId="45" xfId="0" applyFont="1" applyFill="1" applyBorder="1" applyAlignment="1">
      <alignment horizontal="center" vertical="center" wrapText="1"/>
    </xf>
    <xf numFmtId="0" fontId="15" fillId="4" borderId="40" xfId="0" applyFont="1" applyFill="1" applyBorder="1" applyAlignment="1">
      <alignment horizontal="center" vertical="center" wrapText="1"/>
    </xf>
    <xf numFmtId="0" fontId="15" fillId="4" borderId="26" xfId="0" applyFont="1" applyFill="1" applyBorder="1" applyAlignment="1">
      <alignment horizontal="center" vertical="center" wrapText="1"/>
    </xf>
    <xf numFmtId="0" fontId="15" fillId="4" borderId="41" xfId="0" applyFont="1" applyFill="1" applyBorder="1" applyAlignment="1">
      <alignment horizontal="center" vertical="center" wrapText="1"/>
    </xf>
    <xf numFmtId="0" fontId="13" fillId="2" borderId="2" xfId="0" applyFont="1" applyFill="1" applyBorder="1" applyAlignment="1">
      <alignment horizontal="center" vertical="center" wrapText="1"/>
    </xf>
    <xf numFmtId="0" fontId="13" fillId="2" borderId="4" xfId="0" applyFont="1" applyFill="1" applyBorder="1" applyAlignment="1">
      <alignment horizontal="center" vertical="center" wrapText="1"/>
    </xf>
    <xf numFmtId="0" fontId="13" fillId="2" borderId="6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0" fontId="25" fillId="7" borderId="103" xfId="0" applyFont="1" applyFill="1" applyBorder="1" applyAlignment="1">
      <alignment horizontal="center" vertical="center"/>
    </xf>
    <xf numFmtId="0" fontId="22" fillId="6" borderId="0" xfId="0" applyFont="1" applyFill="1" applyBorder="1" applyAlignment="1">
      <alignment horizontal="center" vertical="center" wrapText="1"/>
    </xf>
    <xf numFmtId="0" fontId="22" fillId="6" borderId="95" xfId="0" applyFont="1" applyFill="1" applyBorder="1" applyAlignment="1">
      <alignment horizontal="center" vertical="center" wrapText="1"/>
    </xf>
    <xf numFmtId="0" fontId="22" fillId="6" borderId="98" xfId="0" applyFont="1" applyFill="1" applyBorder="1" applyAlignment="1">
      <alignment horizontal="center" vertical="center" wrapText="1"/>
    </xf>
    <xf numFmtId="0" fontId="29" fillId="0" borderId="5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</cellXfs>
  <cellStyles count="3">
    <cellStyle name="Normal" xfId="0" builtinId="0"/>
    <cellStyle name="Normal 2" xfId="2"/>
    <cellStyle name="Percent" xfId="1" builtinId="5"/>
  </cellStyles>
  <dxfs count="0"/>
  <tableStyles count="0" defaultTableStyle="TableStyleMedium2" defaultPivotStyle="PivotStyleLight16"/>
  <colors>
    <mruColors>
      <color rgb="FFCCFF33"/>
      <color rgb="FFFFCCCC"/>
      <color rgb="FFFFCC99"/>
      <color rgb="FFCCCCFF"/>
      <color rgb="FFFFCCFF"/>
      <color rgb="FFFFCC66"/>
      <color rgb="FFFF9999"/>
      <color rgb="FFFF9966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theme" Target="theme/theme1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30103</xdr:colOff>
      <xdr:row>63</xdr:row>
      <xdr:rowOff>196191</xdr:rowOff>
    </xdr:from>
    <xdr:to>
      <xdr:col>77</xdr:col>
      <xdr:colOff>543480</xdr:colOff>
      <xdr:row>127</xdr:row>
      <xdr:rowOff>24395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494103" y="14320405"/>
          <a:ext cx="22366448" cy="1376191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158</xdr:col>
      <xdr:colOff>606670</xdr:colOff>
      <xdr:row>54</xdr:row>
      <xdr:rowOff>7259</xdr:rowOff>
    </xdr:from>
    <xdr:to>
      <xdr:col>197</xdr:col>
      <xdr:colOff>460471</xdr:colOff>
      <xdr:row>135</xdr:row>
      <xdr:rowOff>42424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859488" y="15166441"/>
          <a:ext cx="25519347" cy="1938534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63</xdr:col>
      <xdr:colOff>373888</xdr:colOff>
      <xdr:row>191</xdr:row>
      <xdr:rowOff>391148</xdr:rowOff>
    </xdr:from>
    <xdr:to>
      <xdr:col>81</xdr:col>
      <xdr:colOff>400915</xdr:colOff>
      <xdr:row>274</xdr:row>
      <xdr:rowOff>179966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394888" y="27061148"/>
          <a:ext cx="11457026" cy="1581440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388373</xdr:colOff>
      <xdr:row>23</xdr:row>
      <xdr:rowOff>6391</xdr:rowOff>
    </xdr:to>
    <xdr:pic>
      <xdr:nvPicPr>
        <xdr:cNvPr id="2" name="Picture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603505" y="919514"/>
          <a:ext cx="3075826" cy="42022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74706</xdr:colOff>
      <xdr:row>133</xdr:row>
      <xdr:rowOff>45889</xdr:rowOff>
    </xdr:from>
    <xdr:to>
      <xdr:col>25</xdr:col>
      <xdr:colOff>409896</xdr:colOff>
      <xdr:row>175</xdr:row>
      <xdr:rowOff>182483</xdr:rowOff>
    </xdr:to>
    <xdr:pic>
      <xdr:nvPicPr>
        <xdr:cNvPr id="3" name="_x524315136" descr="EMB0000336063e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1389530" y="29965595"/>
          <a:ext cx="15717131" cy="9235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49</xdr:col>
      <xdr:colOff>368328</xdr:colOff>
      <xdr:row>117</xdr:row>
      <xdr:rowOff>84940</xdr:rowOff>
    </xdr:from>
    <xdr:to>
      <xdr:col>89</xdr:col>
      <xdr:colOff>683161</xdr:colOff>
      <xdr:row>211</xdr:row>
      <xdr:rowOff>35215</xdr:rowOff>
    </xdr:to>
    <xdr:pic>
      <xdr:nvPicPr>
        <xdr:cNvPr id="2" name="_x185156296" descr="EMB00003da8585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38041146" y="28706122"/>
          <a:ext cx="27573651" cy="24299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396581</xdr:colOff>
      <xdr:row>131</xdr:row>
      <xdr:rowOff>26626</xdr:rowOff>
    </xdr:from>
    <xdr:to>
      <xdr:col>105</xdr:col>
      <xdr:colOff>1335</xdr:colOff>
      <xdr:row>187</xdr:row>
      <xdr:rowOff>201572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42867" y="30987412"/>
          <a:ext cx="6290396" cy="14951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88</xdr:col>
      <xdr:colOff>434255</xdr:colOff>
      <xdr:row>130</xdr:row>
      <xdr:rowOff>97598</xdr:rowOff>
    </xdr:from>
    <xdr:to>
      <xdr:col>98</xdr:col>
      <xdr:colOff>427427</xdr:colOff>
      <xdr:row>187</xdr:row>
      <xdr:rowOff>51645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27541" y="30840669"/>
          <a:ext cx="6270600" cy="14948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19780</xdr:colOff>
      <xdr:row>22</xdr:row>
      <xdr:rowOff>13606</xdr:rowOff>
    </xdr:from>
    <xdr:to>
      <xdr:col>62</xdr:col>
      <xdr:colOff>531775</xdr:colOff>
      <xdr:row>99</xdr:row>
      <xdr:rowOff>203715</xdr:rowOff>
    </xdr:to>
    <xdr:pic>
      <xdr:nvPicPr>
        <xdr:cNvPr id="2" name="_x185156296" descr="EMB00003da8585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24893637" y="4871356"/>
          <a:ext cx="21766352" cy="184645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56</xdr:col>
      <xdr:colOff>332174</xdr:colOff>
      <xdr:row>21</xdr:row>
      <xdr:rowOff>283347</xdr:rowOff>
    </xdr:from>
    <xdr:to>
      <xdr:col>65</xdr:col>
      <xdr:colOff>668992</xdr:colOff>
      <xdr:row>84</xdr:row>
      <xdr:rowOff>1382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14960" y="4760097"/>
          <a:ext cx="6460032" cy="14687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648341</xdr:colOff>
      <xdr:row>10</xdr:row>
      <xdr:rowOff>64032</xdr:rowOff>
    </xdr:from>
    <xdr:to>
      <xdr:col>62</xdr:col>
      <xdr:colOff>296797</xdr:colOff>
      <xdr:row>71</xdr:row>
      <xdr:rowOff>79559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58576" y="2237973"/>
          <a:ext cx="6484044" cy="151357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433731</xdr:colOff>
      <xdr:row>23</xdr:row>
      <xdr:rowOff>124320</xdr:rowOff>
    </xdr:to>
    <xdr:pic>
      <xdr:nvPicPr>
        <xdr:cNvPr id="3" name="Picture 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857505" y="894114"/>
          <a:ext cx="3177426" cy="40974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607800</xdr:colOff>
      <xdr:row>47</xdr:row>
      <xdr:rowOff>47224</xdr:rowOff>
    </xdr:from>
    <xdr:to>
      <xdr:col>24</xdr:col>
      <xdr:colOff>192646</xdr:colOff>
      <xdr:row>77</xdr:row>
      <xdr:rowOff>19731</xdr:rowOff>
    </xdr:to>
    <xdr:pic>
      <xdr:nvPicPr>
        <xdr:cNvPr id="4" name="_x524315136" descr="EMB0000336063e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5370300" y="9721903"/>
          <a:ext cx="11341417" cy="6095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310388</xdr:colOff>
      <xdr:row>22</xdr:row>
      <xdr:rowOff>137148</xdr:rowOff>
    </xdr:from>
    <xdr:to>
      <xdr:col>68</xdr:col>
      <xdr:colOff>337414</xdr:colOff>
      <xdr:row>88</xdr:row>
      <xdr:rowOff>151596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04495" y="5035719"/>
          <a:ext cx="12273455" cy="1545855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523875</xdr:colOff>
      <xdr:row>4</xdr:row>
      <xdr:rowOff>0</xdr:rowOff>
    </xdr:from>
    <xdr:to>
      <xdr:col>65</xdr:col>
      <xdr:colOff>377675</xdr:colOff>
      <xdr:row>83</xdr:row>
      <xdr:rowOff>35797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0" y="838200"/>
          <a:ext cx="26600000" cy="184190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7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1.xml"/></Relationships>
</file>

<file path=xl/worksheets/_rels/sheet7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7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3.xml"/></Relationships>
</file>

<file path=xl/worksheets/_rels/sheet7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4.xml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comments" Target="../comments5.xml"/><Relationship Id="rId1" Type="http://schemas.openxmlformats.org/officeDocument/2006/relationships/vmlDrawing" Target="../drawings/vmlDrawing5.vml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comments" Target="../comments6.xml"/><Relationship Id="rId1" Type="http://schemas.openxmlformats.org/officeDocument/2006/relationships/vmlDrawing" Target="../drawings/vmlDrawing6.vml"/></Relationships>
</file>

<file path=xl/worksheets/_rels/sheet83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printerSettings" Target="../printerSettings/printerSettings7.bin"/></Relationships>
</file>

<file path=xl/worksheets/_rels/sheet8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8.xml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FF33"/>
  </sheetPr>
  <dimension ref="A1:C2"/>
  <sheetViews>
    <sheetView workbookViewId="0"/>
  </sheetViews>
  <sheetFormatPr defaultRowHeight="17"/>
  <cols>
    <col min="2" max="3" width="16.6640625" bestFit="1" customWidth="1"/>
  </cols>
  <sheetData>
    <row r="1" spans="1:3">
      <c r="A1" s="433" t="s">
        <v>898</v>
      </c>
      <c r="B1" s="433">
        <v>2045</v>
      </c>
      <c r="C1" s="194"/>
    </row>
    <row r="2" spans="1:3">
      <c r="A2" s="194"/>
      <c r="B2" s="411"/>
      <c r="C2" s="411"/>
    </row>
  </sheetData>
  <phoneticPr fontId="2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'A.일산테크노밸리(859991)_수정'!EI91</f>
        <v>42.42036663869898</v>
      </c>
      <c r="C2" s="411">
        <f>'E.관광문화단지(849301)_수정'!ER17+'C.장항공공주택지구(849992)'!EZ137+'B.고양영상밸리(849991)_수정'!ER82</f>
        <v>35.061367384063864</v>
      </c>
    </row>
  </sheetData>
  <phoneticPr fontId="2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'A.일산테크노밸리(859991)_수정'!EI140</f>
        <v>42.284110566261134</v>
      </c>
      <c r="C2" s="411">
        <f>'E.관광문화단지(849301)_수정'!ER60+'C.장항공공주택지구(849992)'!EZ180+'B.고양영상밸리(849991)_수정'!ER108</f>
        <v>46.399418574208461</v>
      </c>
    </row>
  </sheetData>
  <phoneticPr fontId="2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903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'A.일산테크노밸리(859991)_수정'!EJ91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'A.일산테크노밸리(859991)_수정'!EJ140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'A.일산테크노밸리(859991)_수정'!EH91</f>
        <v>10473.85830409246</v>
      </c>
      <c r="C2" s="411">
        <f>'E.관광문화단지(849301)_수정'!EQ17+'D.cj라이브시티(849201)_수정'!EQ36+'B.고양영상밸리(849991)_수정'!EQ82</f>
        <v>8144.2193851205302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'A.일산테크노밸리(859991)_수정'!EH140</f>
        <v>10630.89034696598</v>
      </c>
      <c r="C2" s="411">
        <f>'E.관광문화단지(849301)_수정'!EQ60+'D.cj라이브시티(849201)_수정'!EQ79+'B.고양영상밸리(849991)_수정'!EQ108</f>
        <v>8162.3767303000659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'A.일산테크노밸리(859991)_수정'!EI91</f>
        <v>42.42036663869898</v>
      </c>
      <c r="C2" s="411">
        <f>'E.관광문화단지(849301)_수정'!ER17+'D.cj라이브시티(849201)_수정'!ER36+'B.고양영상밸리(849991)_수정'!ER82</f>
        <v>21.553137940270485</v>
      </c>
    </row>
  </sheetData>
  <phoneticPr fontId="2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'A.일산테크노밸리(859991)_수정'!EI140</f>
        <v>42.284110566261134</v>
      </c>
      <c r="C2" s="411">
        <f>'E.관광문화단지(849301)_수정'!ER60+'D.cj라이브시티(849201)_수정'!ER79+'B.고양영상밸리(849991)_수정'!ER108</f>
        <v>21.551093922017195</v>
      </c>
    </row>
  </sheetData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903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'A.일산테크노밸리(859991)_수정'!EJ91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'A.일산테크노밸리(859991)_수정'!EJ140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B2" sqref="B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'A.일산테크노밸리(859991)_수정'!EH91</f>
        <v>10473.85830409246</v>
      </c>
      <c r="C2" s="411">
        <f>'D.cj라이브시티(849201)_수정'!EQ36+'C.장항공공주택지구(849992)'!EY137+'B.고양영상밸리(849991)_수정'!EQ82</f>
        <v>15163.569329270222</v>
      </c>
    </row>
  </sheetData>
  <phoneticPr fontId="2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'A.일산테크노밸리(859991)_수정'!EH91</f>
        <v>10473.85830409246</v>
      </c>
      <c r="C2" s="411">
        <f>'E.관광문화단지(849301)_수정'!EQ17+'D.cj라이브시티(849201)_수정'!EQ36+'C.장항공공주택지구(849992)'!EY137</f>
        <v>12064.570796397162</v>
      </c>
    </row>
  </sheetData>
  <phoneticPr fontId="2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'A.일산테크노밸리(859991)_수정'!EH140</f>
        <v>10630.89034696598</v>
      </c>
      <c r="C2" s="411">
        <f>'E.관광문화단지(849301)_수정'!EQ60+'D.cj라이브시티(849201)_수정'!EQ79+'C.장항공공주택지구(849992)'!EY180</f>
        <v>12056.180772122008</v>
      </c>
    </row>
  </sheetData>
  <phoneticPr fontId="2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'A.일산테크노밸리(859991)_수정'!EI91</f>
        <v>42.42036663869898</v>
      </c>
      <c r="C2" s="411">
        <f>'E.관광문화단지(849301)_수정'!ER17+'D.cj라이브시티(849201)_수정'!ER36+'C.장항공공주택지구(849992)'!EZ137</f>
        <v>23.155605713679332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'A.일산테크노밸리(859991)_수정'!EI140</f>
        <v>42.284110566261134</v>
      </c>
      <c r="C2" s="411">
        <f>'E.관광문화단지(849301)_수정'!ER60+'D.cj라이브시티(849201)_수정'!ER79+'C.장항공공주택지구(849992)'!EZ180</f>
        <v>34.493656903823926</v>
      </c>
    </row>
  </sheetData>
  <phoneticPr fontId="2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905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'A.일산테크노밸리(859991)_수정'!EJ91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tabSelected="1"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906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'A.일산테크노밸리(859991)_수정'!EJ140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'E.관광문화단지(849301)_수정'!EQ17+'D.cj라이브시티(849201)_수정'!EQ36+'C.장항공공주택지구(849992)'!EY137+'B.고양영상밸리(849991)_수정'!EQ82</f>
        <v>17311.908215970281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'E.관광문화단지(849301)_수정'!EQ60+'D.cj라이브시티(849201)_수정'!EQ79+'C.장항공공주택지구(849992)'!EY180+'B.고양영상밸리(849991)_수정'!EQ108</f>
        <v>17315.715801255858</v>
      </c>
    </row>
  </sheetData>
  <phoneticPr fontId="2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'E.관광문화단지(849301)_수정'!ER17+'D.cj라이브시티(849201)_수정'!ER36+'C.장항공공주택지구(849992)'!EZ137+'B.고양영상밸리(849991)_수정'!ER82</f>
        <v>37.04233713324664</v>
      </c>
    </row>
  </sheetData>
  <phoneticPr fontId="2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'E.관광문화단지(849301)_수정'!ER60+'D.cj라이브시티(849201)_수정'!ER79+'C.장항공공주택지구(849992)'!EZ180+'B.고양영상밸리(849991)_수정'!ER108</f>
        <v>48.380388323391237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'A.일산테크노밸리(859991)_수정'!EH140</f>
        <v>10630.89034696598</v>
      </c>
      <c r="C2" s="411">
        <f>'D.cj라이브시티(849201)_수정'!EQ79+'C.장항공공주택지구(849992)'!EY180+'B.고양영상밸리(849991)_수정'!EQ108</f>
        <v>15163.157192106548</v>
      </c>
    </row>
  </sheetData>
  <phoneticPr fontId="2" type="noConversion"/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905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3" sqref="A3"/>
    </sheetView>
  </sheetViews>
  <sheetFormatPr defaultRowHeight="17"/>
  <cols>
    <col min="2" max="3" width="16.66406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3" width="16.66406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'A.일산테크노밸리(859991)_수정'!EH90</f>
        <v>10473.85830409246</v>
      </c>
      <c r="C2" s="411">
        <v>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'A.일산테크노밸리(859991)_수정'!EH139</f>
        <v>10630.89034696598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'A.일산테크노밸리(859991)_수정'!EI91</f>
        <v>42.42036663869898</v>
      </c>
      <c r="C2" s="411">
        <f>'D.cj라이브시티(849201)_수정'!ER36+'C.장항공공주택지구(849992)'!EZ137+'B.고양영상밸리(849991)_수정'!ER82</f>
        <v>31.356900361726247</v>
      </c>
    </row>
  </sheetData>
  <phoneticPr fontId="2" type="noConversion"/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414062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'A.일산테크노밸리(859991)_수정'!EI90</f>
        <v>42.42036663869898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414062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'A.일산테크노밸리(859991)_수정'!EI139</f>
        <v>42.284110566261134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'A.일산테크노밸리(859991)_수정'!EJ90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'A.일산테크노밸리(859991)_수정'!EJ139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6.66406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'B.고양영상밸리(849991)_수정'!EQ82</f>
        <v>5247.3374195731194</v>
      </c>
    </row>
  </sheetData>
  <phoneticPr fontId="2" type="noConversion"/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3" sqref="C3"/>
    </sheetView>
  </sheetViews>
  <sheetFormatPr defaultRowHeight="17"/>
  <cols>
    <col min="2" max="2" width="13.4140625" bestFit="1" customWidth="1"/>
    <col min="3" max="3" width="16.66406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'B.고양영상밸리(849991)_수정'!EQ108</f>
        <v>5259.5350291338482</v>
      </c>
    </row>
  </sheetData>
  <phoneticPr fontId="2" type="noConversion"/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'B.고양영상밸리(849991)_수정'!ER82</f>
        <v>13.88673141956731</v>
      </c>
    </row>
  </sheetData>
  <phoneticPr fontId="2" type="noConversion"/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'B.고양영상밸리(849991)_수정'!ER108</f>
        <v>13.88673141956731</v>
      </c>
    </row>
  </sheetData>
  <phoneticPr fontId="2" type="noConversion"/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A2" sqref="A2"/>
    </sheetView>
  </sheetViews>
  <sheetFormatPr defaultRowHeight="17"/>
  <cols>
    <col min="2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A2" sqref="A2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'A.일산테크노밸리(859991)_수정'!EI140</f>
        <v>42.284110566261134</v>
      </c>
      <c r="C2" s="411">
        <f>'D.cj라이브시티(849201)_수정'!ER79+'C.장항공공주택지구(849992)'!EZ180+'B.고양영상밸리(849991)_수정'!ER108</f>
        <v>42.69699557012413</v>
      </c>
    </row>
  </sheetData>
  <phoneticPr fontId="2" type="noConversion"/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'C.장항공공주택지구(849992)'!EY137</f>
        <v>9167.688830849751</v>
      </c>
    </row>
  </sheetData>
  <phoneticPr fontId="2" type="noConversion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'C.장항공공주택지구(849992)'!EY180</f>
        <v>9153.3390709557898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'C.장항공공주택지구(849992)'!EZ137</f>
        <v>15.489199192976155</v>
      </c>
    </row>
  </sheetData>
  <phoneticPr fontId="2" type="noConversion"/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'C.장항공공주택지구(849992)'!EZ180</f>
        <v>26.829294401374042</v>
      </c>
    </row>
  </sheetData>
  <phoneticPr fontId="2" type="noConversion"/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Y50" sqref="Y50"/>
    </sheetView>
  </sheetViews>
  <sheetFormatPr defaultRowHeight="17"/>
  <cols>
    <col min="2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B2" sqref="B2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T41" sqref="T41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'D.cj라이브시티(849201)_수정'!EQ36</f>
        <v>748.54307884735204</v>
      </c>
    </row>
  </sheetData>
  <phoneticPr fontId="2" type="noConversion"/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'D.cj라이브시티(849201)_수정'!EQ79</f>
        <v>750.28309201690934</v>
      </c>
    </row>
  </sheetData>
  <phoneticPr fontId="2" type="noConversion"/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34">
        <f>'D.cj라이브시티(849201)_수정'!ER36</f>
        <v>1.98096974918278</v>
      </c>
    </row>
  </sheetData>
  <phoneticPr fontId="2" type="noConversion"/>
  <pageMargins left="0.7" right="0.7" top="0.75" bottom="0.75" header="0.3" footer="0.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'D.cj라이브시티(849201)_수정'!ER79</f>
        <v>1.9809697491827802</v>
      </c>
    </row>
  </sheetData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903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'A.일산테크노밸리(859991)_수정'!EJ91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K11" sqref="K11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A2" sqref="A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'E.관광문화단지(849301)_수정'!EQ17</f>
        <v>2148.3388867000585</v>
      </c>
    </row>
  </sheetData>
  <phoneticPr fontId="2" type="noConversion"/>
  <pageMargins left="0.7" right="0.7" top="0.75" bottom="0.75" header="0.3" footer="0.3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sqref="A1:C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'E.관광문화단지(849301)_수정'!EQ60</f>
        <v>2152.5586091493087</v>
      </c>
    </row>
  </sheetData>
  <phoneticPr fontId="2" type="noConversion"/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P15" sqref="P15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'E.관광문화단지(849301)_수정'!ER17</f>
        <v>5.6854367715203962</v>
      </c>
    </row>
  </sheetData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Q6" sqref="Q6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v>0</v>
      </c>
      <c r="C2" s="411">
        <f>'E.관광문화단지(849301)_수정'!ER60</f>
        <v>5.6833927532671051</v>
      </c>
    </row>
  </sheetData>
  <phoneticPr fontId="2" type="noConversion"/>
  <pageMargins left="0.7" right="0.7" top="0.75" bottom="0.75" header="0.3" footer="0.3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U11" sqref="U11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L16" sqref="L16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N16" sqref="N16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'A.일산테크노밸리(859991)_수정'!EH90</f>
        <v>10473.85830409246</v>
      </c>
      <c r="C2" s="411">
        <f>'E.관광문화단지(849301)_수정'!EQ17+'D.cj라이브시티(849201)_수정'!EQ36+'C.장항공공주택지구(849992)'!EY137+'B.고양영상밸리(849991)_수정'!EQ82</f>
        <v>17311.908215970281</v>
      </c>
    </row>
  </sheetData>
  <phoneticPr fontId="2" type="noConversion"/>
  <pageMargins left="0.7" right="0.7" top="0.75" bottom="0.75" header="0.3" footer="0.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Q12" sqref="Q1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'A.일산테크노밸리(859991)_수정'!EH139</f>
        <v>10630.89034696598</v>
      </c>
      <c r="C2" s="411">
        <f>'E.관광문화단지(849301)_수정'!EQ60+'D.cj라이브시티(849201)_수정'!EQ79+'C.장항공공주택지구(849992)'!EY180+'B.고양영상밸리(849991)_수정'!EQ108</f>
        <v>17315.715801255858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'A.일산테크노밸리(859991)_수정'!EJ140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C2" sqref="A1:C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'A.일산테크노밸리(859991)_수정'!EI90</f>
        <v>42.42036663869898</v>
      </c>
      <c r="C2" s="411">
        <f>'E.관광문화단지(849301)_수정'!ER17+'D.cj라이브시티(849201)_수정'!ER36+'C.장항공공주택지구(849992)'!EZ137+'B.고양영상밸리(849991)_수정'!ER82</f>
        <v>37.04233713324664</v>
      </c>
    </row>
  </sheetData>
  <phoneticPr fontId="2" type="noConversion"/>
  <pageMargins left="0.7" right="0.7" top="0.75" bottom="0.75" header="0.3" footer="0.3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topLeftCell="A52" workbookViewId="0">
      <selection activeCell="A52" sqref="A5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'A.일산테크노밸리(859991)_수정'!EI139</f>
        <v>42.284110566261134</v>
      </c>
      <c r="C2" s="411">
        <f>'E.관광문화단지(849301)_수정'!ER60+'D.cj라이브시티(849201)_수정'!ER79+'C.장항공공주택지구(849992)'!EZ180+'B.고양영상밸리(849991)_수정'!ER108</f>
        <v>48.380388323391237</v>
      </c>
    </row>
  </sheetData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Z13" sqref="Z13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899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'A.일산테크노밸리(859991)_수정'!EJ90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F44" sqref="F44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2045</v>
      </c>
      <c r="B2" s="410">
        <f>'A.일산테크노밸리(859991)_수정'!EJ139</f>
        <v>1864.3334243417717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79998168889431442"/>
  </sheetPr>
  <dimension ref="A1:FH67"/>
  <sheetViews>
    <sheetView zoomScale="85" zoomScaleNormal="85" workbookViewId="0">
      <selection activeCell="Q44" sqref="Q44"/>
    </sheetView>
  </sheetViews>
  <sheetFormatPr defaultRowHeight="17"/>
  <cols>
    <col min="13" max="13" width="10.08203125" bestFit="1" customWidth="1"/>
    <col min="27" max="27" width="10.08203125" bestFit="1" customWidth="1"/>
    <col min="41" max="41" width="10.08203125" bestFit="1" customWidth="1"/>
  </cols>
  <sheetData>
    <row r="1" spans="1:158">
      <c r="A1" s="32" t="s">
        <v>234</v>
      </c>
    </row>
    <row r="2" spans="1:158">
      <c r="B2" t="s">
        <v>153</v>
      </c>
      <c r="C2" t="s">
        <v>729</v>
      </c>
    </row>
    <row r="4" spans="1:158">
      <c r="B4" s="447" t="s">
        <v>730</v>
      </c>
      <c r="C4" s="447"/>
      <c r="D4" s="447" t="s">
        <v>732</v>
      </c>
      <c r="E4" s="447"/>
      <c r="F4" s="447" t="s">
        <v>740</v>
      </c>
      <c r="G4" s="447"/>
      <c r="H4" s="447" t="s">
        <v>735</v>
      </c>
      <c r="I4" s="447"/>
      <c r="J4" s="447" t="s">
        <v>736</v>
      </c>
      <c r="K4" s="447"/>
      <c r="L4" s="447" t="s">
        <v>738</v>
      </c>
      <c r="M4" s="447"/>
    </row>
    <row r="5" spans="1:158" ht="23">
      <c r="B5" t="s">
        <v>733</v>
      </c>
      <c r="C5" t="s">
        <v>734</v>
      </c>
      <c r="D5" t="s">
        <v>733</v>
      </c>
      <c r="E5" t="s">
        <v>734</v>
      </c>
      <c r="F5" t="s">
        <v>733</v>
      </c>
      <c r="G5" t="s">
        <v>734</v>
      </c>
      <c r="H5" t="s">
        <v>733</v>
      </c>
      <c r="I5" t="s">
        <v>734</v>
      </c>
      <c r="J5" t="s">
        <v>737</v>
      </c>
      <c r="K5" t="s">
        <v>731</v>
      </c>
      <c r="L5" t="s">
        <v>733</v>
      </c>
      <c r="M5" t="s">
        <v>739</v>
      </c>
      <c r="O5" s="351"/>
    </row>
    <row r="6" spans="1:158">
      <c r="A6" t="s">
        <v>741</v>
      </c>
      <c r="B6">
        <v>1764</v>
      </c>
      <c r="C6">
        <v>1764</v>
      </c>
      <c r="D6">
        <v>769</v>
      </c>
      <c r="E6">
        <v>769</v>
      </c>
      <c r="F6">
        <v>954</v>
      </c>
      <c r="G6">
        <v>954</v>
      </c>
      <c r="H6">
        <v>1767</v>
      </c>
      <c r="I6">
        <v>1767</v>
      </c>
      <c r="J6">
        <v>276</v>
      </c>
      <c r="K6">
        <v>276</v>
      </c>
      <c r="L6">
        <v>5530</v>
      </c>
      <c r="M6">
        <v>5530</v>
      </c>
    </row>
    <row r="7" spans="1:158">
      <c r="A7" t="s">
        <v>742</v>
      </c>
      <c r="B7">
        <v>1783</v>
      </c>
      <c r="C7">
        <v>1785</v>
      </c>
      <c r="D7">
        <v>796</v>
      </c>
      <c r="E7">
        <v>798</v>
      </c>
      <c r="F7">
        <v>923</v>
      </c>
      <c r="G7">
        <v>922</v>
      </c>
      <c r="H7">
        <v>1803</v>
      </c>
      <c r="I7">
        <v>1801</v>
      </c>
      <c r="J7">
        <v>256</v>
      </c>
      <c r="K7">
        <v>257</v>
      </c>
      <c r="L7">
        <v>5561</v>
      </c>
      <c r="M7">
        <v>5563</v>
      </c>
    </row>
    <row r="8" spans="1:158">
      <c r="EU8" s="32" t="s">
        <v>863</v>
      </c>
    </row>
    <row r="9" spans="1:158">
      <c r="ET9" s="279"/>
      <c r="EU9" s="279" t="s">
        <v>601</v>
      </c>
    </row>
    <row r="10" spans="1:158">
      <c r="ET10" s="279" t="s">
        <v>602</v>
      </c>
      <c r="EU10" s="293">
        <v>1</v>
      </c>
    </row>
    <row r="11" spans="1:158">
      <c r="J11" s="403"/>
      <c r="K11" s="32" t="s">
        <v>851</v>
      </c>
    </row>
    <row r="13" spans="1:158" s="227" customFormat="1" ht="19.5">
      <c r="A13" s="329">
        <v>2025</v>
      </c>
      <c r="B13" s="282"/>
      <c r="C13" s="283"/>
      <c r="D13" s="284"/>
      <c r="E13" s="284"/>
      <c r="F13" s="284"/>
      <c r="G13" s="284"/>
      <c r="H13" s="284"/>
      <c r="I13" s="284"/>
      <c r="K13" s="282"/>
      <c r="L13" s="282"/>
      <c r="M13" s="283"/>
      <c r="N13" s="284"/>
      <c r="O13" s="284"/>
      <c r="P13" s="284"/>
      <c r="Q13" s="284"/>
      <c r="R13" s="284"/>
      <c r="S13" s="284"/>
    </row>
    <row r="14" spans="1:158" ht="23.5" thickBot="1">
      <c r="A14" s="32" t="s">
        <v>468</v>
      </c>
      <c r="C14" t="s">
        <v>463</v>
      </c>
      <c r="D14" t="s">
        <v>467</v>
      </c>
      <c r="E14" t="s">
        <v>470</v>
      </c>
      <c r="F14" t="s">
        <v>465</v>
      </c>
      <c r="G14" t="s">
        <v>466</v>
      </c>
      <c r="H14" t="s">
        <v>21</v>
      </c>
      <c r="K14" s="32" t="s">
        <v>471</v>
      </c>
      <c r="CV14" s="32" t="s">
        <v>492</v>
      </c>
      <c r="CY14" t="s">
        <v>478</v>
      </c>
      <c r="CZ14" t="s">
        <v>479</v>
      </c>
      <c r="EL14" s="353" t="s">
        <v>854</v>
      </c>
      <c r="EV14" s="353" t="s">
        <v>745</v>
      </c>
    </row>
    <row r="15" spans="1:158">
      <c r="A15" t="s">
        <v>462</v>
      </c>
      <c r="C15" t="s">
        <v>427</v>
      </c>
      <c r="D15" t="s">
        <v>428</v>
      </c>
      <c r="E15" t="s">
        <v>429</v>
      </c>
      <c r="F15" t="s">
        <v>430</v>
      </c>
      <c r="G15" t="s">
        <v>431</v>
      </c>
      <c r="H15" t="s">
        <v>457</v>
      </c>
      <c r="K15" s="159" t="s">
        <v>482</v>
      </c>
      <c r="L15" s="159"/>
      <c r="M15" s="443" t="s">
        <v>463</v>
      </c>
      <c r="N15" s="444"/>
      <c r="O15" s="444"/>
      <c r="P15" s="444"/>
      <c r="Q15" s="444"/>
      <c r="R15" s="444"/>
      <c r="S15" s="444"/>
      <c r="T15" s="444"/>
      <c r="U15" s="444"/>
      <c r="V15" s="444"/>
      <c r="W15" s="444"/>
      <c r="X15" s="444"/>
      <c r="Y15" s="444"/>
      <c r="Z15" s="445"/>
      <c r="AA15" s="443" t="s">
        <v>467</v>
      </c>
      <c r="AB15" s="444"/>
      <c r="AC15" s="444"/>
      <c r="AD15" s="444"/>
      <c r="AE15" s="444"/>
      <c r="AF15" s="444"/>
      <c r="AG15" s="444"/>
      <c r="AH15" s="444"/>
      <c r="AI15" s="444"/>
      <c r="AJ15" s="444"/>
      <c r="AK15" s="444"/>
      <c r="AL15" s="444"/>
      <c r="AM15" s="444"/>
      <c r="AN15" s="445"/>
      <c r="AO15" s="443" t="s">
        <v>464</v>
      </c>
      <c r="AP15" s="444"/>
      <c r="AQ15" s="444"/>
      <c r="AR15" s="444"/>
      <c r="AS15" s="444"/>
      <c r="AT15" s="444"/>
      <c r="AU15" s="444"/>
      <c r="AV15" s="444"/>
      <c r="AW15" s="444"/>
      <c r="AX15" s="444"/>
      <c r="AY15" s="444"/>
      <c r="AZ15" s="444"/>
      <c r="BA15" s="444"/>
      <c r="BB15" s="445"/>
      <c r="BC15" s="443" t="s">
        <v>465</v>
      </c>
      <c r="BD15" s="444"/>
      <c r="BE15" s="444"/>
      <c r="BF15" s="444"/>
      <c r="BG15" s="444"/>
      <c r="BH15" s="444"/>
      <c r="BI15" s="444"/>
      <c r="BJ15" s="444"/>
      <c r="BK15" s="444"/>
      <c r="BL15" s="444"/>
      <c r="BM15" s="444"/>
      <c r="BN15" s="444"/>
      <c r="BO15" s="444"/>
      <c r="BP15" s="445"/>
      <c r="BQ15" s="443" t="s">
        <v>466</v>
      </c>
      <c r="BR15" s="444"/>
      <c r="BS15" s="444"/>
      <c r="BT15" s="444"/>
      <c r="BU15" s="444"/>
      <c r="BV15" s="444"/>
      <c r="BW15" s="444"/>
      <c r="BX15" s="444"/>
      <c r="BY15" s="444"/>
      <c r="BZ15" s="444"/>
      <c r="CA15" s="444"/>
      <c r="CB15" s="444"/>
      <c r="CC15" s="444"/>
      <c r="CD15" s="445"/>
      <c r="CE15" s="443" t="s">
        <v>21</v>
      </c>
      <c r="CF15" s="444"/>
      <c r="CG15" s="444"/>
      <c r="CH15" s="444"/>
      <c r="CI15" s="444"/>
      <c r="CJ15" s="444"/>
      <c r="CK15" s="444"/>
      <c r="CL15" s="444"/>
      <c r="CM15" s="444"/>
      <c r="CN15" s="444"/>
      <c r="CO15" s="444"/>
      <c r="CP15" s="444"/>
      <c r="CQ15" s="444"/>
      <c r="CR15" s="445"/>
      <c r="CV15" s="263" t="s">
        <v>482</v>
      </c>
      <c r="CW15" s="263"/>
      <c r="CX15" s="446" t="s">
        <v>554</v>
      </c>
      <c r="CY15" s="439"/>
      <c r="CZ15" s="439"/>
      <c r="DA15" s="440"/>
      <c r="DB15" s="438" t="s">
        <v>553</v>
      </c>
      <c r="DC15" s="439"/>
      <c r="DD15" s="439"/>
      <c r="DE15" s="440"/>
      <c r="DF15" s="438" t="s">
        <v>464</v>
      </c>
      <c r="DG15" s="439"/>
      <c r="DH15" s="439"/>
      <c r="DI15" s="440"/>
      <c r="DJ15" s="438" t="s">
        <v>465</v>
      </c>
      <c r="DK15" s="439"/>
      <c r="DL15" s="439"/>
      <c r="DM15" s="440"/>
      <c r="DN15" s="438" t="s">
        <v>466</v>
      </c>
      <c r="DO15" s="439"/>
      <c r="DP15" s="439"/>
      <c r="DQ15" s="440"/>
      <c r="DR15" s="438" t="s">
        <v>21</v>
      </c>
      <c r="DS15" s="439"/>
      <c r="DT15" s="439"/>
      <c r="DU15" s="441"/>
      <c r="DW15" s="278"/>
      <c r="DX15" s="278"/>
      <c r="DY15" s="442" t="s">
        <v>588</v>
      </c>
      <c r="DZ15" s="442"/>
      <c r="EB15" s="278"/>
      <c r="EC15" s="278"/>
      <c r="ED15" s="442" t="s">
        <v>588</v>
      </c>
      <c r="EE15" s="442"/>
      <c r="EI15" t="s">
        <v>599</v>
      </c>
    </row>
    <row r="16" spans="1:158">
      <c r="A16" s="199"/>
      <c r="B16" s="199"/>
      <c r="C16" s="202" t="s">
        <v>463</v>
      </c>
      <c r="D16" s="202" t="s">
        <v>467</v>
      </c>
      <c r="E16" s="202" t="s">
        <v>464</v>
      </c>
      <c r="F16" s="202" t="s">
        <v>465</v>
      </c>
      <c r="G16" s="202" t="s">
        <v>558</v>
      </c>
      <c r="H16" s="202" t="s">
        <v>21</v>
      </c>
      <c r="K16" s="159"/>
      <c r="L16" s="159"/>
      <c r="M16" s="211" t="s">
        <v>472</v>
      </c>
      <c r="N16" s="160" t="s">
        <v>156</v>
      </c>
      <c r="O16" s="160" t="s">
        <v>475</v>
      </c>
      <c r="P16" s="160" t="s">
        <v>476</v>
      </c>
      <c r="Q16" s="160" t="s">
        <v>477</v>
      </c>
      <c r="R16" s="160" t="s">
        <v>478</v>
      </c>
      <c r="S16" s="160" t="s">
        <v>479</v>
      </c>
      <c r="T16" s="160" t="s">
        <v>480</v>
      </c>
      <c r="U16" s="160" t="s">
        <v>449</v>
      </c>
      <c r="V16" s="160" t="s">
        <v>157</v>
      </c>
      <c r="W16" s="160" t="s">
        <v>473</v>
      </c>
      <c r="X16" s="160" t="s">
        <v>474</v>
      </c>
      <c r="Y16" s="160" t="s">
        <v>46</v>
      </c>
      <c r="Z16" s="212" t="s">
        <v>11</v>
      </c>
      <c r="AA16" s="211" t="s">
        <v>472</v>
      </c>
      <c r="AB16" s="160" t="s">
        <v>156</v>
      </c>
      <c r="AC16" s="160" t="s">
        <v>475</v>
      </c>
      <c r="AD16" s="160" t="s">
        <v>476</v>
      </c>
      <c r="AE16" s="160" t="s">
        <v>477</v>
      </c>
      <c r="AF16" s="160" t="s">
        <v>478</v>
      </c>
      <c r="AG16" s="160" t="s">
        <v>479</v>
      </c>
      <c r="AH16" s="160" t="s">
        <v>480</v>
      </c>
      <c r="AI16" s="160" t="s">
        <v>449</v>
      </c>
      <c r="AJ16" s="160" t="s">
        <v>157</v>
      </c>
      <c r="AK16" s="160" t="s">
        <v>473</v>
      </c>
      <c r="AL16" s="160" t="s">
        <v>474</v>
      </c>
      <c r="AM16" s="160" t="s">
        <v>46</v>
      </c>
      <c r="AN16" s="212" t="s">
        <v>11</v>
      </c>
      <c r="AO16" s="211" t="s">
        <v>472</v>
      </c>
      <c r="AP16" s="160" t="s">
        <v>156</v>
      </c>
      <c r="AQ16" s="160" t="s">
        <v>475</v>
      </c>
      <c r="AR16" s="160" t="s">
        <v>476</v>
      </c>
      <c r="AS16" s="160" t="s">
        <v>477</v>
      </c>
      <c r="AT16" s="160" t="s">
        <v>478</v>
      </c>
      <c r="AU16" s="160" t="s">
        <v>479</v>
      </c>
      <c r="AV16" s="160" t="s">
        <v>480</v>
      </c>
      <c r="AW16" s="160" t="s">
        <v>449</v>
      </c>
      <c r="AX16" s="160" t="s">
        <v>157</v>
      </c>
      <c r="AY16" s="160" t="s">
        <v>473</v>
      </c>
      <c r="AZ16" s="160" t="s">
        <v>474</v>
      </c>
      <c r="BA16" s="160" t="s">
        <v>46</v>
      </c>
      <c r="BB16" s="212" t="s">
        <v>11</v>
      </c>
      <c r="BC16" s="211" t="s">
        <v>472</v>
      </c>
      <c r="BD16" s="160" t="s">
        <v>156</v>
      </c>
      <c r="BE16" s="160" t="s">
        <v>475</v>
      </c>
      <c r="BF16" s="160" t="s">
        <v>476</v>
      </c>
      <c r="BG16" s="160" t="s">
        <v>477</v>
      </c>
      <c r="BH16" s="160" t="s">
        <v>478</v>
      </c>
      <c r="BI16" s="160" t="s">
        <v>479</v>
      </c>
      <c r="BJ16" s="160" t="s">
        <v>480</v>
      </c>
      <c r="BK16" s="160" t="s">
        <v>449</v>
      </c>
      <c r="BL16" s="160" t="s">
        <v>157</v>
      </c>
      <c r="BM16" s="160" t="s">
        <v>473</v>
      </c>
      <c r="BN16" s="160" t="s">
        <v>474</v>
      </c>
      <c r="BO16" s="160" t="s">
        <v>46</v>
      </c>
      <c r="BP16" s="212" t="s">
        <v>11</v>
      </c>
      <c r="BQ16" s="211" t="s">
        <v>472</v>
      </c>
      <c r="BR16" s="160" t="s">
        <v>156</v>
      </c>
      <c r="BS16" s="160" t="s">
        <v>475</v>
      </c>
      <c r="BT16" s="160" t="s">
        <v>476</v>
      </c>
      <c r="BU16" s="160" t="s">
        <v>477</v>
      </c>
      <c r="BV16" s="160" t="s">
        <v>478</v>
      </c>
      <c r="BW16" s="160" t="s">
        <v>479</v>
      </c>
      <c r="BX16" s="160" t="s">
        <v>480</v>
      </c>
      <c r="BY16" s="160" t="s">
        <v>449</v>
      </c>
      <c r="BZ16" s="160" t="s">
        <v>157</v>
      </c>
      <c r="CA16" s="160" t="s">
        <v>473</v>
      </c>
      <c r="CB16" s="160" t="s">
        <v>474</v>
      </c>
      <c r="CC16" s="160" t="s">
        <v>46</v>
      </c>
      <c r="CD16" s="212" t="s">
        <v>11</v>
      </c>
      <c r="CE16" s="211" t="s">
        <v>472</v>
      </c>
      <c r="CF16" s="160" t="s">
        <v>156</v>
      </c>
      <c r="CG16" s="160" t="s">
        <v>475</v>
      </c>
      <c r="CH16" s="160" t="s">
        <v>476</v>
      </c>
      <c r="CI16" s="160" t="s">
        <v>477</v>
      </c>
      <c r="CJ16" s="160" t="s">
        <v>478</v>
      </c>
      <c r="CK16" s="160" t="s">
        <v>479</v>
      </c>
      <c r="CL16" s="160" t="s">
        <v>480</v>
      </c>
      <c r="CM16" s="160" t="s">
        <v>449</v>
      </c>
      <c r="CN16" s="160" t="s">
        <v>157</v>
      </c>
      <c r="CO16" s="160" t="s">
        <v>473</v>
      </c>
      <c r="CP16" s="160" t="s">
        <v>474</v>
      </c>
      <c r="CQ16" s="160" t="s">
        <v>46</v>
      </c>
      <c r="CR16" s="212" t="s">
        <v>11</v>
      </c>
      <c r="CV16" s="263"/>
      <c r="CW16" s="263"/>
      <c r="CX16" s="264" t="s">
        <v>156</v>
      </c>
      <c r="CY16" s="264" t="s">
        <v>478</v>
      </c>
      <c r="CZ16" s="264" t="s">
        <v>479</v>
      </c>
      <c r="DA16" s="264" t="s">
        <v>157</v>
      </c>
      <c r="DB16" s="264" t="s">
        <v>156</v>
      </c>
      <c r="DC16" s="264" t="s">
        <v>478</v>
      </c>
      <c r="DD16" s="264" t="s">
        <v>479</v>
      </c>
      <c r="DE16" s="264" t="s">
        <v>157</v>
      </c>
      <c r="DF16" s="264" t="s">
        <v>156</v>
      </c>
      <c r="DG16" s="264" t="s">
        <v>478</v>
      </c>
      <c r="DH16" s="264" t="s">
        <v>479</v>
      </c>
      <c r="DI16" s="264" t="s">
        <v>157</v>
      </c>
      <c r="DJ16" s="264" t="s">
        <v>156</v>
      </c>
      <c r="DK16" s="264" t="s">
        <v>478</v>
      </c>
      <c r="DL16" s="264" t="s">
        <v>479</v>
      </c>
      <c r="DM16" s="264" t="s">
        <v>157</v>
      </c>
      <c r="DN16" s="264" t="s">
        <v>156</v>
      </c>
      <c r="DO16" s="264" t="s">
        <v>478</v>
      </c>
      <c r="DP16" s="264" t="s">
        <v>479</v>
      </c>
      <c r="DQ16" s="264" t="s">
        <v>157</v>
      </c>
      <c r="DR16" s="264" t="s">
        <v>156</v>
      </c>
      <c r="DS16" s="264" t="s">
        <v>478</v>
      </c>
      <c r="DT16" s="264" t="s">
        <v>479</v>
      </c>
      <c r="DU16" s="264" t="s">
        <v>157</v>
      </c>
      <c r="DW16" s="278"/>
      <c r="DX16" s="278"/>
      <c r="DY16" s="280" t="s">
        <v>585</v>
      </c>
      <c r="DZ16" s="280" t="s">
        <v>259</v>
      </c>
      <c r="EB16" s="278"/>
      <c r="EC16" s="278"/>
      <c r="ED16" s="280" t="s">
        <v>585</v>
      </c>
      <c r="EE16" s="280" t="s">
        <v>259</v>
      </c>
      <c r="EL16" s="420" t="s">
        <v>564</v>
      </c>
      <c r="EM16" s="420" t="s">
        <v>565</v>
      </c>
      <c r="EN16" s="420" t="s">
        <v>566</v>
      </c>
      <c r="EO16" s="420" t="s">
        <v>562</v>
      </c>
      <c r="EP16" s="421" t="s">
        <v>597</v>
      </c>
      <c r="EQ16" s="421" t="s">
        <v>585</v>
      </c>
      <c r="ER16" s="421" t="s">
        <v>259</v>
      </c>
      <c r="ES16" s="424" t="s">
        <v>867</v>
      </c>
      <c r="EV16" s="306" t="s">
        <v>564</v>
      </c>
      <c r="EW16" s="306" t="s">
        <v>565</v>
      </c>
      <c r="EX16" s="306" t="s">
        <v>566</v>
      </c>
      <c r="EY16" s="306" t="s">
        <v>562</v>
      </c>
      <c r="EZ16" s="307" t="s">
        <v>597</v>
      </c>
      <c r="FA16" s="307" t="s">
        <v>585</v>
      </c>
      <c r="FB16" s="307" t="s">
        <v>259</v>
      </c>
    </row>
    <row r="17" spans="1:158">
      <c r="A17" s="205"/>
      <c r="B17" s="205" t="s">
        <v>744</v>
      </c>
      <c r="C17" s="400">
        <f>$M$7*KTDB_TripDistribution_2045!L$12 * (1+KTDB_발생량도착량_증가율!$C$8*5) * (1+KTDB_발생량도착량_증가율!$D$7*5) * (1+KTDB_발생량도착량_증가율!$E$7*5) * (1+KTDB_발생량도착량_증가율!$F$7*5) * (1+KTDB_발생량도착량_증가율!$G$7*5)</f>
        <v>642.97954174630479</v>
      </c>
      <c r="D17" s="400">
        <f>$M$7*KTDB_TripDistribution_2045!M$12 * (1+KTDB_발생량도착량_증가율!$C$8*5) * (1+KTDB_발생량도착량_증가율!$D$7*5) * (1+KTDB_발생량도착량_증가율!$E$7*5) * (1+KTDB_발생량도착량_증가율!$F$7*5) * (1+KTDB_발생량도착량_증가율!$G$7*5)</f>
        <v>4999.8946605805731</v>
      </c>
      <c r="E17" s="400">
        <f>$M$7*KTDB_TripDistribution_2045!N$12 * (1+KTDB_발생량도착량_증가율!$C$8*5) * (1+KTDB_발생량도착량_증가율!$D$7*5) * (1+KTDB_발생량도착량_증가율!$E$7*5) * (1+KTDB_발생량도착량_증가율!$F$7*5) * (1+KTDB_발생량도착량_증가율!$G$7*5)</f>
        <v>221.62209629439067</v>
      </c>
      <c r="F17" s="400">
        <f>$M$7*KTDB_TripDistribution_2045!O$12 * (1+KTDB_발생량도착량_증가율!$C$8*5) * (1+KTDB_발생량도착량_증가율!$D$7*5) * (1+KTDB_발생량도착량_증가율!$E$7*5) * (1+KTDB_발생량도착량_증가율!$F$7*5) * (1+KTDB_발생량도착량_증가율!$G$7*5)</f>
        <v>0.60100907469665421</v>
      </c>
      <c r="G17" s="400">
        <f>$M$7*KTDB_TripDistribution_2045!P$12 * (1+KTDB_발생량도착량_증가율!$C$8*5) * (1+KTDB_발생량도착량_증가율!$D$7*5) * (1+KTDB_발생량도착량_증가율!$E$7*5) * (1+KTDB_발생량도착량_증가율!$F$7*5) * (1+KTDB_발생량도착량_증가율!$G$7*5)</f>
        <v>1.7028590449738477</v>
      </c>
      <c r="H17" s="400">
        <f>$M$7*KTDB_TripDistribution_2045!Q$12 * (1+KTDB_발생량도착량_증가율!$C$8*5) * (1+KTDB_발생량도착량_증가율!$D$7*5) * (1+KTDB_발생량도착량_증가율!$E$7*5) * (1+KTDB_발생량도착량_증가율!$F$7*5) * (1+KTDB_발생량도착량_증가율!$G$7*5)</f>
        <v>5866.800166740938</v>
      </c>
      <c r="J17" s="230">
        <f t="shared" ref="J17" si="0">CR17</f>
        <v>5866.8001667409389</v>
      </c>
      <c r="K17" s="206"/>
      <c r="L17" s="206" t="s">
        <v>743</v>
      </c>
      <c r="M17" s="206">
        <f>INDEX($A$16:$H$17,MATCH($L17,$B$16:$B$17,0),MATCH($M$15,$A$16:$H$16,0))*고양시_Modal_split!C$3 * 0.01</f>
        <v>1.8003427168896533</v>
      </c>
      <c r="N17" s="206">
        <f>INDEX($A$16:$H$17,MATCH($L17,$B$16:$B$17,0),MATCH($M$15,$A$16:$H$16,0))*고양시_Modal_split!D$3 * 0.01</f>
        <v>302.39327848328713</v>
      </c>
      <c r="O17" s="206">
        <f>INDEX($A$16:$H$17,MATCH($L17,$B$16:$B$17,0),MATCH($M$15,$A$16:$H$16,0))*고양시_Modal_split!E$3 * 0.01</f>
        <v>36.585535925364738</v>
      </c>
      <c r="P17" s="206">
        <f>INDEX($A$16:$H$17,MATCH($L17,$B$16:$B$17,0),MATCH($M$15,$A$16:$H$16,0))*고양시_Modal_split!F$3 * 0.01</f>
        <v>58.961223978136154</v>
      </c>
      <c r="Q17" s="206">
        <f>INDEX($A$16:$H$17,MATCH($L17,$B$16:$B$17,0),MATCH($M$15,$A$16:$H$16,0))*고양시_Modal_split!G$3 * 0.01</f>
        <v>5.9154117840660039</v>
      </c>
      <c r="R17" s="206">
        <f>INDEX($A$16:$H$17,MATCH($L17,$B$16:$B$17,0),MATCH($M$15,$A$16:$H$16,0))*고양시_Modal_split!H$3 * 0.01</f>
        <v>6.4297954174630481E-2</v>
      </c>
      <c r="S17" s="206">
        <f>INDEX($A$16:$H$17,MATCH($L17,$B$16:$B$17,0),MATCH($M$15,$A$16:$H$16,0))*고양시_Modal_split!I$3 * 0.01</f>
        <v>17.874831260547271</v>
      </c>
      <c r="T17" s="206">
        <f>INDEX($A$16:$H$17,MATCH($L17,$B$16:$B$17,0),MATCH($M$15,$A$16:$H$16,0))*고양시_Modal_split!J$3 * 0.01</f>
        <v>195.72297250757518</v>
      </c>
      <c r="U17" s="206">
        <f>INDEX($A$16:$H$17,MATCH($L17,$B$16:$B$17,0),MATCH($M$15,$A$16:$H$16,0))*고양시_Modal_split!K$3 * 0.01</f>
        <v>0.96446931261945723</v>
      </c>
      <c r="V17" s="206">
        <f>INDEX($A$16:$H$17,MATCH($L17,$B$16:$B$17,0),MATCH($M$15,$A$16:$H$16,0))*고양시_Modal_split!L$3 * 0.01</f>
        <v>19.417982160738404</v>
      </c>
      <c r="W17" s="206">
        <f>INDEX($A$16:$H$17,MATCH($L17,$B$16:$B$17,0),MATCH($M$15,$A$16:$H$16,0))*고양시_Modal_split!M$3 * 0.01</f>
        <v>1.478852946016501</v>
      </c>
      <c r="X17" s="206">
        <f>INDEX($A$16:$H$17,MATCH($L17,$B$16:$B$17,0),MATCH($M$15,$A$16:$H$16,0))*고양시_Modal_split!N$3 * 0.01</f>
        <v>0.64297954174630478</v>
      </c>
      <c r="Y17" s="206">
        <f>INDEX($A$16:$H$17,MATCH($L17,$B$16:$B$17,0),MATCH($M$15,$A$16:$H$16,0))*고양시_Modal_split!O$3 * 0.01</f>
        <v>1.1573631751433486</v>
      </c>
      <c r="Z17" s="209">
        <f>INDEX($A$16:$H$17,MATCH($L17,$B$16:$B$17,0),MATCH($M$15,$A$16:$H$16,0))*고양시_Modal_split!P$3 * 0.01</f>
        <v>642.97954174630479</v>
      </c>
      <c r="AA17" s="206">
        <f>INDEX($A$16:$H$17,MATCH($L17,$B$16:$B$17,0),MATCH($AA$15,$A$16:$H$16,0))*고양시_Modal_split!C$3 * 0.01</f>
        <v>13.999705049625604</v>
      </c>
      <c r="AB17" s="207">
        <f>INDEX($A$16:$H$17,MATCH($L17,$B$16:$B$17,0),MATCH($AA$15,$A$16:$H$16,0))*고양시_Modal_split!D$3 * 0.01</f>
        <v>2351.4504588710438</v>
      </c>
      <c r="AC17" s="207">
        <f>INDEX($A$16:$H$17,MATCH($L17,$B$16:$B$17,0),MATCH($AA$15,$A$16:$H$16,0))*고양시_Modal_split!E$3 * 0.01</f>
        <v>284.49400618703459</v>
      </c>
      <c r="AD17" s="207">
        <f>INDEX($A$16:$H$17,MATCH($L17,$B$16:$B$17,0),MATCH($AA$15,$A$16:$H$16,0))*고양시_Modal_split!F$3 * 0.01</f>
        <v>458.49034037523853</v>
      </c>
      <c r="AE17" s="207">
        <f>INDEX($A$16:$H$17,MATCH($L17,$B$16:$B$17,0),MATCH($AA$15,$A$16:$H$16,0))*고양시_Modal_split!G$3 * 0.01</f>
        <v>45.999030877341269</v>
      </c>
      <c r="AF17" s="207">
        <f>INDEX($A$16:$H$17,MATCH($L17,$B$16:$B$17,0),MATCH($AA$15,$A$16:$H$16,0))*고양시_Modal_split!H$3 * 0.01</f>
        <v>0.49998946605805733</v>
      </c>
      <c r="AG17" s="207">
        <f>INDEX($A$16:$H$17,MATCH($L17,$B$16:$B$17,0),MATCH($AA$15,$A$16:$H$16,0))*고양시_Modal_split!I$3 * 0.01</f>
        <v>138.99707156413993</v>
      </c>
      <c r="AH17" s="207">
        <f>INDEX($A$16:$H$17,MATCH($L17,$B$16:$B$17,0),MATCH($AA$15,$A$16:$H$16,0))*고양시_Modal_split!J$3 * 0.01</f>
        <v>1521.9679346807266</v>
      </c>
      <c r="AI17" s="207">
        <f>INDEX($A$16:$H$17,MATCH($L17,$B$16:$B$17,0),MATCH($AA$15,$A$16:$H$16,0))*고양시_Modal_split!K$3 * 0.01</f>
        <v>7.4998419908708591</v>
      </c>
      <c r="AJ17" s="207">
        <f>INDEX($A$16:$H$17,MATCH($L17,$B$16:$B$17,0),MATCH($AA$15,$A$16:$H$16,0))*고양시_Modal_split!L$3 * 0.01</f>
        <v>150.9968187495333</v>
      </c>
      <c r="AK17" s="207">
        <f>INDEX($A$16:$H$17,MATCH($L17,$B$16:$B$17,0),MATCH($AA$15,$A$16:$H$16,0))*고양시_Modal_split!M$3 * 0.01</f>
        <v>11.499757719335317</v>
      </c>
      <c r="AL17" s="207">
        <f>INDEX($A$16:$H$17,MATCH($L17,$B$16:$B$17,0),MATCH($AA$15,$A$16:$H$16,0))*고양시_Modal_split!N$3 * 0.01</f>
        <v>4.9998946605805736</v>
      </c>
      <c r="AM17" s="207">
        <f>INDEX($A$16:$H$17,MATCH($L17,$B$16:$B$17,0),MATCH($AA$15,$A$16:$H$16,0))*고양시_Modal_split!O$3 * 0.01</f>
        <v>8.9998103890450327</v>
      </c>
      <c r="AN17" s="207">
        <f>INDEX($A$16:$H$17,MATCH($L17,$B$16:$B$17,0),MATCH($AA$15,$A$16:$H$16,0))*고양시_Modal_split!P$3 * 0.01</f>
        <v>4999.8946605805731</v>
      </c>
      <c r="AO17" s="206">
        <f>INDEX($A$16:$H$17,MATCH($L17,$B$16:$B$17,0),MATCH($AO$15,$A$16:$H$16,0))*고양시_Modal_split!C$3 * 0.01</f>
        <v>0.62054186962429381</v>
      </c>
      <c r="AP17" s="303">
        <f>INDEX($A$16:$H$17,MATCH($L17,$B$16:$B$17,0),MATCH($AO$15,$A$16:$H$16,0))*고양시_Modal_split!D$3 * 0.01</f>
        <v>104.22887188725194</v>
      </c>
      <c r="AQ17" s="303">
        <f>INDEX($A$16:$H$17,MATCH($L17,$B$16:$B$17,0),MATCH($AO$15,$A$16:$H$16,0))*고양시_Modal_split!E$3 * 0.01</f>
        <v>12.610297279150828</v>
      </c>
      <c r="AR17" s="303">
        <f>INDEX($A$16:$H$17,MATCH($L17,$B$16:$B$17,0),MATCH($AO$15,$A$16:$H$16,0))*고양시_Modal_split!F$3 * 0.01</f>
        <v>20.322746230195623</v>
      </c>
      <c r="AS17" s="303">
        <f>INDEX($A$16:$H$17,MATCH($L17,$B$16:$B$17,0),MATCH($AO$15,$A$16:$H$16,0))*고양시_Modal_split!G$3 * 0.01</f>
        <v>2.0389232859083943</v>
      </c>
      <c r="AT17" s="303">
        <f>INDEX($A$16:$H$17,MATCH($L17,$B$16:$B$17,0),MATCH($AO$15,$A$16:$H$16,0))*고양시_Modal_split!H$3 * 0.01</f>
        <v>2.2162209629439069E-2</v>
      </c>
      <c r="AU17" s="303">
        <f>INDEX($A$16:$H$17,MATCH($L17,$B$16:$B$17,0),MATCH($AO$15,$A$16:$H$16,0))*고양시_Modal_split!I$3 * 0.01</f>
        <v>6.1610942769840609</v>
      </c>
      <c r="AV17" s="303">
        <f>INDEX($A$16:$H$17,MATCH($L17,$B$16:$B$17,0),MATCH($AO$15,$A$16:$H$16,0))*고양시_Modal_split!J$3 * 0.01</f>
        <v>67.461766112012526</v>
      </c>
      <c r="AW17" s="303">
        <f>INDEX($A$16:$H$17,MATCH($L17,$B$16:$B$17,0),MATCH($AO$15,$A$16:$H$16,0))*고양시_Modal_split!K$3 * 0.01</f>
        <v>0.332433144441586</v>
      </c>
      <c r="AX17" s="303">
        <f>INDEX($A$16:$H$17,MATCH($L17,$B$16:$B$17,0),MATCH($AO$15,$A$16:$H$16,0))*고양시_Modal_split!L$3 * 0.01</f>
        <v>6.6929873080905988</v>
      </c>
      <c r="AY17" s="303">
        <f>INDEX($A$16:$H$17,MATCH($L17,$B$16:$B$17,0),MATCH($AO$15,$A$16:$H$16,0))*고양시_Modal_split!M$3 * 0.01</f>
        <v>0.50973082147709858</v>
      </c>
      <c r="AZ17" s="303">
        <f>INDEX($A$16:$H$17,MATCH($L17,$B$16:$B$17,0),MATCH($AO$15,$A$16:$H$16,0))*고양시_Modal_split!N$3 * 0.01</f>
        <v>0.2216220962943907</v>
      </c>
      <c r="BA17" s="207">
        <f>INDEX($A$16:$H$17,MATCH($L17,$B$16:$B$17,0),MATCH($AO$15,$A$16:$H$16,0))*고양시_Modal_split!O$3 * 0.01</f>
        <v>0.39891977332990325</v>
      </c>
      <c r="BB17" s="207">
        <f>INDEX($A$16:$H$17,MATCH($L17,$B$16:$B$17,0),MATCH($AO$15,$A$16:$H$16,0))*고양시_Modal_split!P$3 * 0.01</f>
        <v>221.6220962943907</v>
      </c>
      <c r="BC17" s="207">
        <f>INDEX($A$16:$H$17,MATCH($L17,$B$16:$B$17,0),MATCH($BC$15,$A$16:$H$16,0))*고양시_Modal_split!C$3 * 0.01</f>
        <v>1.6828254091506318E-3</v>
      </c>
      <c r="BD17" s="207">
        <f>INDEX($A$16:$H$17,MATCH($L17,$B$16:$B$17,0),MATCH($BC$15,$A$16:$H$16,0))*고양시_Modal_split!D$3 * 0.01</f>
        <v>0.2826545678298365</v>
      </c>
      <c r="BE17" s="207">
        <f>INDEX($A$16:$H$17,MATCH($L17,$B$16:$B$17,0),MATCH($BC$15,$A$16:$H$16,0))*고양시_Modal_split!E$3 * 0.01</f>
        <v>3.4197416350239623E-2</v>
      </c>
      <c r="BF17" s="207">
        <f>INDEX($A$16:$H$17,MATCH($L17,$B$16:$B$17,0),MATCH($BC$15,$A$16:$H$16,0))*고양시_Modal_split!F$3 * 0.01</f>
        <v>5.5112532149683188E-2</v>
      </c>
      <c r="BG17" s="207">
        <f>INDEX($A$16:$H$17,MATCH($L17,$B$16:$B$17,0),MATCH($BC$15,$A$16:$H$16,0))*고양시_Modal_split!G$3 * 0.01</f>
        <v>5.5292834872092177E-3</v>
      </c>
      <c r="BH17" s="207">
        <f>INDEX($A$16:$H$17,MATCH($L17,$B$16:$B$17,0),MATCH($BC$15,$A$16:$H$16,0))*고양시_Modal_split!H$3 * 0.01</f>
        <v>6.0100907469665429E-5</v>
      </c>
      <c r="BI17" s="207">
        <f>INDEX($A$16:$H$17,MATCH($L17,$B$16:$B$17,0),MATCH($BC$15,$A$16:$H$16,0))*고양시_Modal_split!I$3 * 0.01</f>
        <v>1.6708052276566989E-2</v>
      </c>
      <c r="BJ17" s="207">
        <f>INDEX($A$16:$H$17,MATCH($L17,$B$16:$B$17,0),MATCH($BC$15,$A$16:$H$16,0))*고양시_Modal_split!J$3 * 0.01</f>
        <v>0.18294716233766156</v>
      </c>
      <c r="BK17" s="207">
        <f>INDEX($A$16:$H$17,MATCH($L17,$B$16:$B$17,0),MATCH($BC$15,$A$16:$H$16,0))*고양시_Modal_split!K$3 * 0.01</f>
        <v>9.0151361204498127E-4</v>
      </c>
      <c r="BL17" s="207">
        <f>INDEX($A$16:$H$17,MATCH($L17,$B$16:$B$17,0),MATCH($BC$15,$A$16:$H$16,0))*고양시_Modal_split!L$3 * 0.01</f>
        <v>1.8150474055838958E-2</v>
      </c>
      <c r="BM17" s="207">
        <f>INDEX($A$16:$H$17,MATCH($L17,$B$16:$B$17,0),MATCH($BC$15,$A$16:$H$16,0))*고양시_Modal_split!M$3 * 0.01</f>
        <v>1.3823208718023044E-3</v>
      </c>
      <c r="BN17" s="207">
        <f>INDEX($A$16:$H$17,MATCH($L17,$B$16:$B$17,0),MATCH($BC$15,$A$16:$H$16,0))*고양시_Modal_split!N$3 * 0.01</f>
        <v>6.0100907469665425E-4</v>
      </c>
      <c r="BO17" s="207">
        <f>INDEX($A$16:$H$17,MATCH($L17,$B$16:$B$17,0),MATCH($BC$15,$A$16:$H$16,0))*고양시_Modal_split!O$3 * 0.01</f>
        <v>1.0818163344539775E-3</v>
      </c>
      <c r="BP17" s="207">
        <f>INDEX($A$16:$H$17,MATCH($L17,$B$16:$B$17,0),MATCH($BC$15,$A$16:$H$16,0))*고양시_Modal_split!P$3 * 0.01</f>
        <v>0.60100907469665421</v>
      </c>
      <c r="BQ17" s="207">
        <f>INDEX($A$16:$H$17,MATCH($L17,$B$16:$B$17,0),MATCH($BQ$15,$A$16:$H$16,0))*고양시_Modal_split!C$3 * 0.01</f>
        <v>4.7680053259267731E-3</v>
      </c>
      <c r="BR17" s="207">
        <f>INDEX($A$16:$H$17,MATCH($L17,$B$16:$B$17,0),MATCH($BQ$15,$A$16:$H$16,0))*고양시_Modal_split!D$3 * 0.01</f>
        <v>0.80085460885120063</v>
      </c>
      <c r="BS17" s="207">
        <f>INDEX($A$16:$H$17,MATCH($L17,$B$16:$B$17,0),MATCH($BQ$15,$A$16:$H$16,0))*고양시_Modal_split!E$3 * 0.01</f>
        <v>9.6892679659011938E-2</v>
      </c>
      <c r="BT17" s="207">
        <f>INDEX($A$16:$H$17,MATCH($L17,$B$16:$B$17,0),MATCH($BQ$15,$A$16:$H$16,0))*고양시_Modal_split!F$3 * 0.01</f>
        <v>0.15615217442410184</v>
      </c>
      <c r="BU17" s="207">
        <f>INDEX($A$16:$H$17,MATCH($L17,$B$16:$B$17,0),MATCH($BQ$15,$A$16:$H$16,0))*고양시_Modal_split!G$3 * 0.01</f>
        <v>1.5666303213759399E-2</v>
      </c>
      <c r="BV17" s="207">
        <f>INDEX($A$16:$H$17,MATCH($L17,$B$16:$B$17,0),MATCH($BQ$15,$A$16:$H$16,0))*고양시_Modal_split!H$3 * 0.01</f>
        <v>1.7028590449738476E-4</v>
      </c>
      <c r="BW17" s="207">
        <f>INDEX($A$16:$H$17,MATCH($L17,$B$16:$B$17,0),MATCH($BQ$15,$A$16:$H$16,0))*고양시_Modal_split!I$3 * 0.01</f>
        <v>4.7339481450272961E-2</v>
      </c>
      <c r="BX17" s="207">
        <f>INDEX($A$16:$H$17,MATCH($L17,$B$16:$B$17,0),MATCH($BQ$15,$A$16:$H$16,0))*고양시_Modal_split!J$3 * 0.01</f>
        <v>0.51835029329003923</v>
      </c>
      <c r="BY17" s="207">
        <f>INDEX($A$16:$H$17,MATCH($L17,$B$16:$B$17,0),MATCH($BQ$15,$A$16:$H$16,0))*고양시_Modal_split!K$3 * 0.01</f>
        <v>2.5542885674607711E-3</v>
      </c>
      <c r="BZ17" s="207">
        <f>INDEX($A$16:$H$17,MATCH($L17,$B$16:$B$17,0),MATCH($BQ$15,$A$16:$H$16,0))*고양시_Modal_split!L$3 * 0.01</f>
        <v>5.1426343158210201E-2</v>
      </c>
      <c r="CA17" s="207">
        <f>INDEX($A$16:$H$17,MATCH($L17,$B$16:$B$17,0),MATCH($BQ$15,$A$16:$H$16,0))*고양시_Modal_split!M$3 * 0.01</f>
        <v>3.9165758034398496E-3</v>
      </c>
      <c r="CB17" s="207">
        <f>INDEX($A$16:$H$17,MATCH($L17,$B$16:$B$17,0),MATCH($BQ$15,$A$16:$H$16,0))*고양시_Modal_split!N$3 * 0.01</f>
        <v>1.7028590449738479E-3</v>
      </c>
      <c r="CC17" s="207">
        <f>INDEX($A$16:$H$17,MATCH($L17,$B$16:$B$17,0),MATCH($BQ$15,$A$16:$H$16,0))*고양시_Modal_split!O$3 * 0.01</f>
        <v>3.0651462809529258E-3</v>
      </c>
      <c r="CD17" s="207">
        <f>INDEX($A$16:$H$17,MATCH($L17,$B$16:$B$17,0),MATCH($BQ$15,$A$16:$H$16,0))*고양시_Modal_split!P$3 * 0.01</f>
        <v>1.7028590449738477</v>
      </c>
      <c r="CE17" s="304">
        <f>M17+AA17+AO17+BC17+BQ17</f>
        <v>16.427040466874633</v>
      </c>
      <c r="CF17" s="304">
        <f t="shared" ref="CF17:CR17" si="1">N17+AB17+AP17+BD17+BR17</f>
        <v>2759.1561184182642</v>
      </c>
      <c r="CG17" s="304">
        <f t="shared" si="1"/>
        <v>333.8209294875594</v>
      </c>
      <c r="CH17" s="304">
        <f t="shared" si="1"/>
        <v>537.98557529014408</v>
      </c>
      <c r="CI17" s="304">
        <f t="shared" si="1"/>
        <v>53.974561534016637</v>
      </c>
      <c r="CJ17" s="304">
        <f t="shared" si="1"/>
        <v>0.58668001667409397</v>
      </c>
      <c r="CK17" s="304">
        <f t="shared" si="1"/>
        <v>163.09704463539811</v>
      </c>
      <c r="CL17" s="304">
        <f t="shared" si="1"/>
        <v>1785.8539707559421</v>
      </c>
      <c r="CM17" s="304">
        <f t="shared" si="1"/>
        <v>8.8002002501114074</v>
      </c>
      <c r="CN17" s="304">
        <f t="shared" si="1"/>
        <v>177.17736503557634</v>
      </c>
      <c r="CO17" s="304">
        <f t="shared" si="1"/>
        <v>13.493640383504159</v>
      </c>
      <c r="CP17" s="304">
        <f t="shared" si="1"/>
        <v>5.8668001667409406</v>
      </c>
      <c r="CQ17" s="304">
        <f t="shared" si="1"/>
        <v>10.560240300133691</v>
      </c>
      <c r="CR17" s="304">
        <f t="shared" si="1"/>
        <v>5866.8001667409389</v>
      </c>
      <c r="CS17" s="305">
        <f>H17-CR17</f>
        <v>0</v>
      </c>
      <c r="CV17" s="265"/>
      <c r="CW17" s="265" t="s">
        <v>743</v>
      </c>
      <c r="CX17" s="267">
        <f>INDEX($M$15:$Z$17,MATCH($CW17,$L$15:$L$17,0),MATCH(CX$16,$M$16:$Z$16,0))/INDEX(고양시_재차인원!$D$4:$H$35,MATCH("고양시",고양시_재차인원!$B$4:$B$35,0),MATCH($CX$15,고양시_재차인원!$D$4:$H$4,0))</f>
        <v>269.99399864579203</v>
      </c>
      <c r="CY17" s="267">
        <f>INDEX($M$15:$Z$17,MATCH($CW17,$L$15:$L$17,0),MATCH(CY$16,$M$16:$Z$16,0))/INDEX(고양시_재차인원!$K$4:$O$20,MATCH("경기도",고양시_재차인원!$K$4:$K$20,0),MATCH(CY$16,고양시_재차인원!$K$4:$O$4,0))</f>
        <v>2.2333433197162375E-3</v>
      </c>
      <c r="CZ17" s="267">
        <f>INDEX($M$15:$Z$17,MATCH($CW17,$L$15:$L$17,0),MATCH(CZ$16,$M$16:$Z$16,0))/INDEX(고양시_재차인원!$K$4:$O$20,MATCH("경기도",고양시_재차인원!$K$4:$K$20,0),MATCH(CZ$16,고양시_재차인원!$K$4:$O$4,0))</f>
        <v>0.62086944288111401</v>
      </c>
      <c r="DA17" s="267">
        <f>INDEX($M$15:$Z$17,MATCH($CW17,$L$15:$L$17,0),MATCH(DA$16,$M$16:$Z$16,0))/INDEX(고양시_재차인원!$D$4:$H$35,MATCH("고양시",고양시_재차인원!$B$4:$B$35,0),MATCH($CX$15,고양시_재차인원!$D$4:$H$4,0))</f>
        <v>17.337484072087861</v>
      </c>
      <c r="DB17" s="267">
        <f>INDEX($AA$15:$AN$17,MATCH($CW17,$L$15:$L$17,0),MATCH(DB$16,$AA$16:$AN$16,0))/INDEX(고양시_재차인원!$D$4:$H$35,MATCH("고양시",고양시_재차인원!$B$4:$B$35,0),MATCH($DB$15,고양시_재차인원!$D$4:$H$4,0))</f>
        <v>1667.6953609014497</v>
      </c>
      <c r="DC17" s="267">
        <f>INDEX($AA$15:$AN$17,MATCH($CW17,$L$15:$L$17,0),MATCH(DC$16,$AA$16:$AN$16,0))/INDEX(고양시_재차인원!$K$4:$O$20,MATCH("경기도",고양시_재차인원!$K$4:$K$20,0),MATCH(DC$16,고양시_재차인원!$K$4:$O$4,0))</f>
        <v>1.7366775479612968E-2</v>
      </c>
      <c r="DD17" s="267">
        <f>INDEX($AA$15:$AN$17,MATCH($CW17,$L$15:$L$17,0),MATCH(DD$16,$AA$16:$AN$16,0))/INDEX(고양시_재차인원!$K$4:$O$20,MATCH("경기도",고양시_재차인원!$K$4:$K$20,0),MATCH(DD$16,고양시_재차인원!$K$4:$O$4,0))</f>
        <v>4.8279635833324051</v>
      </c>
      <c r="DE17" s="267">
        <f>INDEX($AA$15:$AN$17,MATCH($CW17,$L$15:$L$17,0),MATCH(DE$16,$AA$16:$AN$16,0))/INDEX(고양시_재차인원!$D$4:$H$35,MATCH("고양시",고양시_재차인원!$B$4:$B$35,0),MATCH($DB$15,고양시_재차인원!$D$4:$H$4,0))</f>
        <v>107.08994237555554</v>
      </c>
      <c r="DF17" s="267">
        <f>INDEX($AO$15:$BB$17,MATCH($CW17,$L$15:$L$17,0),MATCH(DF$16,$AO$16:$BB$16,0))/INDEX(고양시_재차인원!$D$4:$H$35,MATCH("고양시",고양시_재차인원!$B$4:$B$35,0),MATCH($DF$15,고양시_재차인원!$D$4:$H$4,0))</f>
        <v>80.176055297886109</v>
      </c>
      <c r="DG17" s="267">
        <f>INDEX($AO$15:$BB$17,MATCH($CW17,$L$15:$L$17,0),MATCH(DG$16,$AO$16:$BB$16,0))/INDEX(고양시_재차인원!$K$4:$O$20,MATCH("경기도",고양시_재차인원!$K$4:$K$20,0),MATCH(DG$16,고양시_재차인원!$K$4:$O$4,0))</f>
        <v>7.6978845534696313E-4</v>
      </c>
      <c r="DH17" s="267">
        <f>INDEX($AO$15:$BB$17,MATCH($CW17,$L$15:$L$17,0),MATCH(DH$16,$AO$16:$BB$16,0))/INDEX(고양시_재차인원!$K$4:$O$20,MATCH("경기도",고양시_재차인원!$K$4:$K$20,0),MATCH(DH$16,고양시_재차인원!$K$4:$O$4,0))</f>
        <v>0.21400119058645575</v>
      </c>
      <c r="DI17" s="267">
        <f>INDEX($AO$15:$BB$17,MATCH($CW17,$L$15:$L$17,0),MATCH(DI$16,$AO$16:$BB$16,0))/INDEX(고양시_재차인원!$D$4:$H$35,MATCH("고양시",고양시_재차인원!$B$4:$B$35,0),MATCH($DF$15,고양시_재차인원!$D$4:$H$4,0))</f>
        <v>5.1484517754543067</v>
      </c>
      <c r="DJ17" s="267">
        <f>INDEX($BC$15:$BP$17,MATCH($CW17,$L$15:$L$17,0),MATCH(DJ$16,$BC$16:$BP$16,0))/INDEX(고양시_재차인원!$D$4:$H$35,MATCH("고양시",고양시_재차인원!$B$4:$B$35,0),MATCH($DJ$15,고양시_재차인원!$D$4:$H$4,0))</f>
        <v>0.20783424105135034</v>
      </c>
      <c r="DK17" s="267">
        <f>INDEX($BC$15:$BP$17,MATCH($CW17,$L$15:$L$17,0),MATCH(DK$16,$BC$16:$BP$16,0))/INDEX(고양시_재차인원!$K$4:$O$20,MATCH("경기도",고양시_재차인원!$K$4:$K$20,0),MATCH(DK$16,고양시_재차인원!$K$4:$O$4,0))</f>
        <v>2.0875619128053293E-6</v>
      </c>
      <c r="DL17" s="267">
        <f>INDEX($BC$15:$BP$17,MATCH($CW17,$L$15:$L$17,0),MATCH(DL$16,$BC$16:$BP$16,0))/INDEX(고양시_재차인원!$K$4:$O$20,MATCH("경기도",고양시_재차인원!$K$4:$K$20,0),MATCH(DL$16,고양시_재차인원!$K$4:$O$4,0))</f>
        <v>5.8034221175988152E-4</v>
      </c>
      <c r="DM17" s="267">
        <f>INDEX($BC$15:$BP$17,MATCH($CW17,$L$15:$L$17,0),MATCH(DM$16,$BC$16:$BP$16,0))/INDEX(고양시_재차인원!$D$4:$H$35,MATCH("고양시",고양시_재차인원!$B$4:$B$35,0),MATCH($DJ$15,고양시_재차인원!$D$4:$H$4,0))</f>
        <v>1.3345936805763939E-2</v>
      </c>
      <c r="DN17" s="267">
        <f>INDEX($BQ$15:$CD$17,MATCH($CW17,$L$15:$L$17,0),MATCH(DN$16,$BQ$16:$CD$16,0))/INDEX(고양시_재차인원!$D$4:$H$35,MATCH("고양시",고양시_재차인원!$B$4:$B$35,0),MATCH($DN$15,고양시_재차인원!$D$4:$H$4,0))</f>
        <v>0.63559889591365126</v>
      </c>
      <c r="DO17" s="267">
        <f>INDEX($BQ$15:$CD$17,MATCH($CW17,$L$15:$L$17,0),MATCH(DO$16,$BQ$16:$CD$16,0))/INDEX(고양시_재차인원!$K$4:$O$20,MATCH("경기도",고양시_재차인원!$K$4:$K$20,0),MATCH(DO$16,고양시_재차인원!$K$4:$O$4,0))</f>
        <v>5.9147587529484118E-6</v>
      </c>
      <c r="DP17" s="267">
        <f>INDEX($BQ$15:$CD$17,MATCH($CW17,$L$15:$L$17,0),MATCH(DP$16,$BQ$16:$CD$16,0))/INDEX(고양시_재차인원!$K$4:$O$20,MATCH("경기도",고양시_재차인원!$K$4:$K$20,0),MATCH(DP$16,고양시_재차인원!$K$4:$O$4,0))</f>
        <v>1.6443029333196584E-3</v>
      </c>
      <c r="DQ17" s="267">
        <f>INDEX($BQ$15:$CD$17,MATCH($CW17,$L$15:$L$17,0),MATCH(DQ$16,$BQ$16:$CD$16,0))/INDEX(고양시_재차인원!$D$4:$H$35,MATCH("고양시",고양시_재차인원!$B$4:$B$35,0),MATCH($DN$15,고양시_재차인원!$D$4:$H$4,0))</f>
        <v>4.0814558062071585E-2</v>
      </c>
      <c r="DR17" s="270">
        <f>CX17+DB17+DF17+DJ17+DN17</f>
        <v>2018.7088479820929</v>
      </c>
      <c r="DS17" s="270">
        <f t="shared" ref="DS17:DU17" si="2">CY17+DC17+DG17+DK17+DO17</f>
        <v>2.0377909575341923E-2</v>
      </c>
      <c r="DT17" s="270">
        <f t="shared" si="2"/>
        <v>5.6650588619450541</v>
      </c>
      <c r="DU17" s="270">
        <f t="shared" si="2"/>
        <v>129.63003871796553</v>
      </c>
      <c r="DW17" s="278"/>
      <c r="DX17" s="278" t="s">
        <v>743</v>
      </c>
      <c r="DY17" s="281">
        <f>DR17+DU17</f>
        <v>2148.3388867000585</v>
      </c>
      <c r="DZ17" s="281">
        <f>DS17+DT17</f>
        <v>5.6854367715203962</v>
      </c>
      <c r="EB17" s="278"/>
      <c r="EC17" s="278" t="s">
        <v>743</v>
      </c>
      <c r="ED17" s="281">
        <f>DY17</f>
        <v>2148.3388867000585</v>
      </c>
      <c r="EE17" s="281">
        <f t="shared" ref="EE17" si="3">DZ17</f>
        <v>5.6854367715203962</v>
      </c>
      <c r="EL17" s="420" t="s">
        <v>728</v>
      </c>
      <c r="EM17" s="420"/>
      <c r="EN17" s="420"/>
      <c r="EO17" s="420"/>
      <c r="EP17" s="421">
        <v>849301</v>
      </c>
      <c r="EQ17" s="422">
        <f>ED24</f>
        <v>2148.3388867000585</v>
      </c>
      <c r="ER17" s="422">
        <f>EE24</f>
        <v>5.6854367715203962</v>
      </c>
      <c r="ES17">
        <v>0</v>
      </c>
      <c r="EV17" s="306" t="s">
        <v>728</v>
      </c>
      <c r="EW17" s="306"/>
      <c r="EX17" s="306"/>
      <c r="EY17" s="306"/>
      <c r="EZ17" s="307">
        <v>849301</v>
      </c>
      <c r="FA17" s="308">
        <f>EQ17*$EU$10</f>
        <v>2148.3388867000585</v>
      </c>
      <c r="FB17" s="308">
        <f t="shared" ref="FB17" si="4">ER17*$EU$10</f>
        <v>5.6854367715203962</v>
      </c>
    </row>
    <row r="18" spans="1:158">
      <c r="A18" s="205"/>
      <c r="B18" s="205"/>
      <c r="C18" s="201"/>
      <c r="D18" s="201"/>
      <c r="E18" s="201"/>
      <c r="F18" s="201"/>
      <c r="G18" s="201"/>
      <c r="H18" s="201"/>
      <c r="J18" s="230"/>
      <c r="K18" s="206"/>
      <c r="L18" s="206"/>
      <c r="M18" s="206"/>
      <c r="N18" s="206"/>
      <c r="O18" s="206"/>
      <c r="P18" s="206"/>
      <c r="Q18" s="206"/>
      <c r="R18" s="206"/>
      <c r="S18" s="206"/>
      <c r="T18" s="206"/>
      <c r="U18" s="206"/>
      <c r="V18" s="206"/>
      <c r="W18" s="206"/>
      <c r="X18" s="206"/>
      <c r="Y18" s="206"/>
      <c r="Z18" s="209"/>
      <c r="AA18" s="207"/>
      <c r="AB18" s="207"/>
      <c r="AC18" s="207"/>
      <c r="AD18" s="207"/>
      <c r="AE18" s="207"/>
      <c r="AF18" s="207"/>
      <c r="AG18" s="207"/>
      <c r="AH18" s="207"/>
      <c r="AI18" s="207"/>
      <c r="AJ18" s="207"/>
      <c r="AK18" s="207"/>
      <c r="AL18" s="207"/>
      <c r="AM18" s="207"/>
      <c r="AN18" s="207"/>
      <c r="AO18" s="303"/>
      <c r="AP18" s="303"/>
      <c r="AQ18" s="303"/>
      <c r="AR18" s="303"/>
      <c r="AS18" s="303"/>
      <c r="AT18" s="303"/>
      <c r="AU18" s="303"/>
      <c r="AV18" s="303"/>
      <c r="AW18" s="303"/>
      <c r="AX18" s="303"/>
      <c r="AY18" s="303"/>
      <c r="AZ18" s="303"/>
      <c r="BA18" s="207"/>
      <c r="BB18" s="207"/>
      <c r="BC18" s="207"/>
      <c r="BD18" s="207"/>
      <c r="BE18" s="207"/>
      <c r="BF18" s="207"/>
      <c r="BG18" s="207"/>
      <c r="BH18" s="207"/>
      <c r="BI18" s="207"/>
      <c r="BJ18" s="207"/>
      <c r="BK18" s="207"/>
      <c r="BL18" s="207"/>
      <c r="BM18" s="207"/>
      <c r="BN18" s="207"/>
      <c r="BO18" s="207"/>
      <c r="BP18" s="207"/>
      <c r="BQ18" s="207"/>
      <c r="BR18" s="207"/>
      <c r="BS18" s="207"/>
      <c r="BT18" s="207"/>
      <c r="BU18" s="207"/>
      <c r="BV18" s="207"/>
      <c r="BW18" s="207"/>
      <c r="BX18" s="207"/>
      <c r="BY18" s="207"/>
      <c r="BZ18" s="207"/>
      <c r="CA18" s="207"/>
      <c r="CB18" s="207"/>
      <c r="CC18" s="207"/>
      <c r="CD18" s="207"/>
      <c r="CE18" s="304"/>
      <c r="CF18" s="304"/>
      <c r="CG18" s="304"/>
      <c r="CH18" s="304"/>
      <c r="CI18" s="304"/>
      <c r="CJ18" s="304"/>
      <c r="CK18" s="304"/>
      <c r="CL18" s="304"/>
      <c r="CM18" s="304"/>
      <c r="CN18" s="304"/>
      <c r="CO18" s="304"/>
      <c r="CP18" s="304"/>
      <c r="CQ18" s="304"/>
      <c r="CR18" s="304"/>
      <c r="CS18" s="305"/>
      <c r="CV18" s="265"/>
      <c r="CW18" s="265"/>
      <c r="CX18" s="267"/>
      <c r="CY18" s="267"/>
      <c r="CZ18" s="267"/>
      <c r="DA18" s="267"/>
      <c r="DB18" s="267"/>
      <c r="DC18" s="267"/>
      <c r="DD18" s="267"/>
      <c r="DE18" s="267"/>
      <c r="DF18" s="267"/>
      <c r="DG18" s="267"/>
      <c r="DH18" s="267"/>
      <c r="DI18" s="267"/>
      <c r="DJ18" s="267"/>
      <c r="DK18" s="267"/>
      <c r="DL18" s="267"/>
      <c r="DM18" s="267"/>
      <c r="DN18" s="267"/>
      <c r="DO18" s="267"/>
      <c r="DP18" s="267"/>
      <c r="DQ18" s="267"/>
      <c r="DR18" s="270"/>
      <c r="DS18" s="270"/>
      <c r="DT18" s="270"/>
      <c r="DU18" s="270"/>
      <c r="DW18" s="278"/>
      <c r="DX18" s="278"/>
      <c r="DY18" s="281"/>
      <c r="DZ18" s="281"/>
      <c r="EB18" s="278"/>
      <c r="EC18" s="278"/>
      <c r="ED18" s="281"/>
      <c r="EE18" s="281"/>
    </row>
    <row r="19" spans="1:158">
      <c r="A19" s="205"/>
      <c r="B19" s="205"/>
      <c r="C19" s="201"/>
      <c r="D19" s="201"/>
      <c r="E19" s="201"/>
      <c r="F19" s="201"/>
      <c r="G19" s="201"/>
      <c r="H19" s="201"/>
      <c r="J19" s="230"/>
      <c r="K19" s="206"/>
      <c r="L19" s="206"/>
      <c r="M19" s="206"/>
      <c r="N19" s="206"/>
      <c r="O19" s="206"/>
      <c r="P19" s="206"/>
      <c r="Q19" s="206"/>
      <c r="R19" s="206"/>
      <c r="S19" s="206"/>
      <c r="T19" s="206"/>
      <c r="U19" s="206"/>
      <c r="V19" s="206"/>
      <c r="W19" s="206"/>
      <c r="X19" s="206"/>
      <c r="Y19" s="206"/>
      <c r="Z19" s="209"/>
      <c r="AA19" s="207"/>
      <c r="AB19" s="207"/>
      <c r="AC19" s="207"/>
      <c r="AD19" s="207"/>
      <c r="AE19" s="207"/>
      <c r="AF19" s="207"/>
      <c r="AG19" s="207"/>
      <c r="AH19" s="207"/>
      <c r="AI19" s="207"/>
      <c r="AJ19" s="207"/>
      <c r="AK19" s="207"/>
      <c r="AL19" s="207"/>
      <c r="AM19" s="207"/>
      <c r="AN19" s="207"/>
      <c r="AO19" s="303"/>
      <c r="AP19" s="303"/>
      <c r="AQ19" s="303"/>
      <c r="AR19" s="303"/>
      <c r="AS19" s="303"/>
      <c r="AT19" s="303"/>
      <c r="AU19" s="303"/>
      <c r="AV19" s="303"/>
      <c r="AW19" s="303"/>
      <c r="AX19" s="303"/>
      <c r="AY19" s="303"/>
      <c r="AZ19" s="303"/>
      <c r="BA19" s="207"/>
      <c r="BB19" s="207"/>
      <c r="BC19" s="207"/>
      <c r="BD19" s="207"/>
      <c r="BE19" s="207"/>
      <c r="BF19" s="207"/>
      <c r="BG19" s="207"/>
      <c r="BH19" s="207"/>
      <c r="BI19" s="207"/>
      <c r="BJ19" s="207"/>
      <c r="BK19" s="207"/>
      <c r="BL19" s="207"/>
      <c r="BM19" s="207"/>
      <c r="BN19" s="207"/>
      <c r="BO19" s="207"/>
      <c r="BP19" s="207"/>
      <c r="BQ19" s="207"/>
      <c r="BR19" s="207"/>
      <c r="BS19" s="207"/>
      <c r="BT19" s="207"/>
      <c r="BU19" s="207"/>
      <c r="BV19" s="207"/>
      <c r="BW19" s="207"/>
      <c r="BX19" s="207"/>
      <c r="BY19" s="207"/>
      <c r="BZ19" s="207"/>
      <c r="CA19" s="207"/>
      <c r="CB19" s="207"/>
      <c r="CC19" s="207"/>
      <c r="CD19" s="207"/>
      <c r="CE19" s="304"/>
      <c r="CF19" s="304"/>
      <c r="CG19" s="304"/>
      <c r="CH19" s="304"/>
      <c r="CI19" s="304"/>
      <c r="CJ19" s="304"/>
      <c r="CK19" s="304"/>
      <c r="CL19" s="304"/>
      <c r="CM19" s="304"/>
      <c r="CN19" s="304"/>
      <c r="CO19" s="304"/>
      <c r="CP19" s="304"/>
      <c r="CQ19" s="304"/>
      <c r="CR19" s="304"/>
      <c r="CS19" s="305"/>
      <c r="CV19" s="265"/>
      <c r="CW19" s="265"/>
      <c r="CX19" s="267"/>
      <c r="CY19" s="267"/>
      <c r="CZ19" s="267"/>
      <c r="DA19" s="267"/>
      <c r="DB19" s="267"/>
      <c r="DC19" s="267"/>
      <c r="DD19" s="267"/>
      <c r="DE19" s="267"/>
      <c r="DF19" s="267"/>
      <c r="DG19" s="267"/>
      <c r="DH19" s="267"/>
      <c r="DI19" s="267"/>
      <c r="DJ19" s="267"/>
      <c r="DK19" s="267"/>
      <c r="DL19" s="267"/>
      <c r="DM19" s="267"/>
      <c r="DN19" s="267"/>
      <c r="DO19" s="267"/>
      <c r="DP19" s="267"/>
      <c r="DQ19" s="267"/>
      <c r="DR19" s="270"/>
      <c r="DS19" s="270"/>
      <c r="DT19" s="270"/>
      <c r="DU19" s="270"/>
      <c r="DW19" s="278"/>
      <c r="DX19" s="278"/>
      <c r="DY19" s="281"/>
      <c r="DZ19" s="281"/>
      <c r="EB19" s="278"/>
      <c r="EC19" s="278"/>
      <c r="ED19" s="281"/>
      <c r="EE19" s="281"/>
    </row>
    <row r="20" spans="1:158">
      <c r="A20" s="205"/>
      <c r="B20" s="205"/>
      <c r="C20" s="201"/>
      <c r="D20" s="201"/>
      <c r="E20" s="201"/>
      <c r="F20" s="201"/>
      <c r="G20" s="201"/>
      <c r="H20" s="201"/>
      <c r="J20" s="230"/>
      <c r="K20" s="206"/>
      <c r="L20" s="206"/>
      <c r="M20" s="206"/>
      <c r="N20" s="206"/>
      <c r="O20" s="206"/>
      <c r="P20" s="206"/>
      <c r="Q20" s="206"/>
      <c r="R20" s="206"/>
      <c r="S20" s="206"/>
      <c r="T20" s="206"/>
      <c r="U20" s="206"/>
      <c r="V20" s="206"/>
      <c r="W20" s="206"/>
      <c r="X20" s="206"/>
      <c r="Y20" s="206"/>
      <c r="Z20" s="209"/>
      <c r="AA20" s="207"/>
      <c r="AB20" s="207"/>
      <c r="AC20" s="207"/>
      <c r="AD20" s="207"/>
      <c r="AE20" s="207"/>
      <c r="AF20" s="207"/>
      <c r="AG20" s="207"/>
      <c r="AH20" s="207"/>
      <c r="AI20" s="207"/>
      <c r="AJ20" s="207"/>
      <c r="AK20" s="207"/>
      <c r="AL20" s="207"/>
      <c r="AM20" s="207"/>
      <c r="AN20" s="207"/>
      <c r="AO20" s="303"/>
      <c r="AP20" s="303"/>
      <c r="AQ20" s="303"/>
      <c r="AR20" s="303"/>
      <c r="AS20" s="303"/>
      <c r="AT20" s="303"/>
      <c r="AU20" s="303"/>
      <c r="AV20" s="303"/>
      <c r="AW20" s="303"/>
      <c r="AX20" s="303"/>
      <c r="AY20" s="303"/>
      <c r="AZ20" s="303"/>
      <c r="BA20" s="207"/>
      <c r="BB20" s="207"/>
      <c r="BC20" s="207"/>
      <c r="BD20" s="207"/>
      <c r="BE20" s="207"/>
      <c r="BF20" s="207"/>
      <c r="BG20" s="207"/>
      <c r="BH20" s="207"/>
      <c r="BI20" s="207"/>
      <c r="BJ20" s="207"/>
      <c r="BK20" s="207"/>
      <c r="BL20" s="207"/>
      <c r="BM20" s="207"/>
      <c r="BN20" s="207"/>
      <c r="BO20" s="207"/>
      <c r="BP20" s="207"/>
      <c r="BQ20" s="207"/>
      <c r="BR20" s="207"/>
      <c r="BS20" s="207"/>
      <c r="BT20" s="207"/>
      <c r="BU20" s="207"/>
      <c r="BV20" s="207"/>
      <c r="BW20" s="207"/>
      <c r="BX20" s="207"/>
      <c r="BY20" s="207"/>
      <c r="BZ20" s="207"/>
      <c r="CA20" s="207"/>
      <c r="CB20" s="207"/>
      <c r="CC20" s="207"/>
      <c r="CD20" s="207"/>
      <c r="CE20" s="304"/>
      <c r="CF20" s="304"/>
      <c r="CG20" s="304"/>
      <c r="CH20" s="304"/>
      <c r="CI20" s="304"/>
      <c r="CJ20" s="304"/>
      <c r="CK20" s="304"/>
      <c r="CL20" s="304"/>
      <c r="CM20" s="304"/>
      <c r="CN20" s="304"/>
      <c r="CO20" s="304"/>
      <c r="CP20" s="304"/>
      <c r="CQ20" s="304"/>
      <c r="CR20" s="304"/>
      <c r="CS20" s="305"/>
      <c r="CV20" s="265"/>
      <c r="CW20" s="265"/>
      <c r="CX20" s="267"/>
      <c r="CY20" s="267"/>
      <c r="CZ20" s="267"/>
      <c r="DA20" s="267"/>
      <c r="DB20" s="267"/>
      <c r="DC20" s="267"/>
      <c r="DD20" s="267"/>
      <c r="DE20" s="267"/>
      <c r="DF20" s="267"/>
      <c r="DG20" s="267"/>
      <c r="DH20" s="267"/>
      <c r="DI20" s="267"/>
      <c r="DJ20" s="267"/>
      <c r="DK20" s="267"/>
      <c r="DL20" s="267"/>
      <c r="DM20" s="267"/>
      <c r="DN20" s="267"/>
      <c r="DO20" s="267"/>
      <c r="DP20" s="267"/>
      <c r="DQ20" s="267"/>
      <c r="DR20" s="270"/>
      <c r="DS20" s="270"/>
      <c r="DT20" s="270"/>
      <c r="DU20" s="270"/>
      <c r="DW20" s="278"/>
      <c r="DX20" s="278"/>
      <c r="DY20" s="281"/>
      <c r="DZ20" s="281"/>
      <c r="EB20" s="278"/>
      <c r="EC20" s="278"/>
      <c r="ED20" s="281"/>
      <c r="EE20" s="281"/>
    </row>
    <row r="21" spans="1:158">
      <c r="A21" s="205"/>
      <c r="B21" s="205"/>
      <c r="C21" s="201"/>
      <c r="D21" s="201"/>
      <c r="E21" s="201"/>
      <c r="F21" s="201"/>
      <c r="G21" s="201"/>
      <c r="H21" s="201"/>
      <c r="J21" s="230"/>
      <c r="K21" s="206"/>
      <c r="L21" s="206"/>
      <c r="M21" s="206"/>
      <c r="N21" s="206"/>
      <c r="O21" s="206"/>
      <c r="P21" s="206"/>
      <c r="Q21" s="206"/>
      <c r="R21" s="206"/>
      <c r="S21" s="206"/>
      <c r="T21" s="206"/>
      <c r="U21" s="206"/>
      <c r="V21" s="206"/>
      <c r="W21" s="206"/>
      <c r="X21" s="206"/>
      <c r="Y21" s="206"/>
      <c r="Z21" s="209"/>
      <c r="AA21" s="207"/>
      <c r="AB21" s="207"/>
      <c r="AC21" s="207"/>
      <c r="AD21" s="207"/>
      <c r="AE21" s="207"/>
      <c r="AF21" s="207"/>
      <c r="AG21" s="207"/>
      <c r="AH21" s="207"/>
      <c r="AI21" s="207"/>
      <c r="AJ21" s="207"/>
      <c r="AK21" s="207"/>
      <c r="AL21" s="207"/>
      <c r="AM21" s="207"/>
      <c r="AN21" s="207"/>
      <c r="AO21" s="303"/>
      <c r="AP21" s="303"/>
      <c r="AQ21" s="303"/>
      <c r="AR21" s="303"/>
      <c r="AS21" s="303"/>
      <c r="AT21" s="303"/>
      <c r="AU21" s="303"/>
      <c r="AV21" s="303"/>
      <c r="AW21" s="303"/>
      <c r="AX21" s="303"/>
      <c r="AY21" s="303"/>
      <c r="AZ21" s="303"/>
      <c r="BA21" s="207"/>
      <c r="BB21" s="207"/>
      <c r="BC21" s="207"/>
      <c r="BD21" s="207"/>
      <c r="BE21" s="207"/>
      <c r="BF21" s="207"/>
      <c r="BG21" s="207"/>
      <c r="BH21" s="207"/>
      <c r="BI21" s="207"/>
      <c r="BJ21" s="207"/>
      <c r="BK21" s="207"/>
      <c r="BL21" s="207"/>
      <c r="BM21" s="207"/>
      <c r="BN21" s="207"/>
      <c r="BO21" s="207"/>
      <c r="BP21" s="207"/>
      <c r="BQ21" s="207"/>
      <c r="BR21" s="207"/>
      <c r="BS21" s="207"/>
      <c r="BT21" s="207"/>
      <c r="BU21" s="207"/>
      <c r="BV21" s="207"/>
      <c r="BW21" s="207"/>
      <c r="BX21" s="207"/>
      <c r="BY21" s="207"/>
      <c r="BZ21" s="207"/>
      <c r="CA21" s="207"/>
      <c r="CB21" s="207"/>
      <c r="CC21" s="207"/>
      <c r="CD21" s="207"/>
      <c r="CE21" s="304"/>
      <c r="CF21" s="304"/>
      <c r="CG21" s="304"/>
      <c r="CH21" s="304"/>
      <c r="CI21" s="304"/>
      <c r="CJ21" s="304"/>
      <c r="CK21" s="304"/>
      <c r="CL21" s="304"/>
      <c r="CM21" s="304"/>
      <c r="CN21" s="304"/>
      <c r="CO21" s="304"/>
      <c r="CP21" s="304"/>
      <c r="CQ21" s="304"/>
      <c r="CR21" s="304"/>
      <c r="CS21" s="305"/>
      <c r="CV21" s="265"/>
      <c r="CW21" s="265"/>
      <c r="CX21" s="267"/>
      <c r="CY21" s="267"/>
      <c r="CZ21" s="267"/>
      <c r="DA21" s="267"/>
      <c r="DB21" s="267"/>
      <c r="DC21" s="267"/>
      <c r="DD21" s="267"/>
      <c r="DE21" s="267"/>
      <c r="DF21" s="267"/>
      <c r="DG21" s="267"/>
      <c r="DH21" s="267"/>
      <c r="DI21" s="267"/>
      <c r="DJ21" s="267"/>
      <c r="DK21" s="267"/>
      <c r="DL21" s="267"/>
      <c r="DM21" s="267"/>
      <c r="DN21" s="267"/>
      <c r="DO21" s="267"/>
      <c r="DP21" s="267"/>
      <c r="DQ21" s="267"/>
      <c r="DR21" s="270"/>
      <c r="DS21" s="270"/>
      <c r="DT21" s="270"/>
      <c r="DU21" s="270"/>
      <c r="DW21" s="278"/>
      <c r="DX21" s="278"/>
      <c r="DY21" s="281"/>
      <c r="DZ21" s="281"/>
      <c r="EB21" s="278"/>
      <c r="EC21" s="278"/>
      <c r="ED21" s="281"/>
      <c r="EE21" s="281"/>
    </row>
    <row r="22" spans="1:158">
      <c r="A22" s="205"/>
      <c r="B22" s="205"/>
      <c r="C22" s="201"/>
      <c r="D22" s="201"/>
      <c r="E22" s="201"/>
      <c r="F22" s="201"/>
      <c r="G22" s="201"/>
      <c r="H22" s="201"/>
      <c r="K22" s="206"/>
      <c r="L22" s="206"/>
      <c r="M22" s="206"/>
      <c r="N22" s="206"/>
      <c r="O22" s="206"/>
      <c r="P22" s="206"/>
      <c r="Q22" s="206"/>
      <c r="R22" s="206"/>
      <c r="S22" s="206"/>
      <c r="T22" s="206"/>
      <c r="U22" s="206"/>
      <c r="V22" s="206"/>
      <c r="W22" s="206"/>
      <c r="X22" s="206"/>
      <c r="Y22" s="206"/>
      <c r="Z22" s="209"/>
      <c r="AA22" s="207"/>
      <c r="AB22" s="207"/>
      <c r="AC22" s="207"/>
      <c r="AD22" s="207"/>
      <c r="AE22" s="207"/>
      <c r="AF22" s="207"/>
      <c r="AG22" s="207"/>
      <c r="AH22" s="207"/>
      <c r="AI22" s="207"/>
      <c r="AJ22" s="207"/>
      <c r="AK22" s="207"/>
      <c r="AL22" s="207"/>
      <c r="AM22" s="207"/>
      <c r="AN22" s="207"/>
      <c r="AO22" s="303"/>
      <c r="AP22" s="303"/>
      <c r="AQ22" s="303"/>
      <c r="AR22" s="303"/>
      <c r="AS22" s="303"/>
      <c r="AT22" s="303"/>
      <c r="AU22" s="303"/>
      <c r="AV22" s="303"/>
      <c r="AW22" s="303"/>
      <c r="AX22" s="303"/>
      <c r="AY22" s="303"/>
      <c r="AZ22" s="303"/>
      <c r="BA22" s="207"/>
      <c r="BB22" s="207"/>
      <c r="BC22" s="207"/>
      <c r="BD22" s="207"/>
      <c r="BE22" s="207"/>
      <c r="BF22" s="207"/>
      <c r="BG22" s="207"/>
      <c r="BH22" s="207"/>
      <c r="BI22" s="207"/>
      <c r="BJ22" s="207"/>
      <c r="BK22" s="207"/>
      <c r="BL22" s="207"/>
      <c r="BM22" s="207"/>
      <c r="BN22" s="207"/>
      <c r="BO22" s="207"/>
      <c r="BP22" s="207"/>
      <c r="BQ22" s="207"/>
      <c r="BR22" s="207"/>
      <c r="BS22" s="207"/>
      <c r="BT22" s="207"/>
      <c r="BU22" s="207"/>
      <c r="BV22" s="207"/>
      <c r="BW22" s="207"/>
      <c r="BX22" s="207"/>
      <c r="BY22" s="207"/>
      <c r="BZ22" s="207"/>
      <c r="CA22" s="207"/>
      <c r="CB22" s="207"/>
      <c r="CC22" s="207"/>
      <c r="CD22" s="207"/>
      <c r="CE22" s="304"/>
      <c r="CF22" s="304"/>
      <c r="CG22" s="304"/>
      <c r="CH22" s="304"/>
      <c r="CI22" s="304"/>
      <c r="CJ22" s="304"/>
      <c r="CK22" s="304"/>
      <c r="CL22" s="304"/>
      <c r="CM22" s="304"/>
      <c r="CN22" s="304"/>
      <c r="CO22" s="304"/>
      <c r="CP22" s="304"/>
      <c r="CQ22" s="304"/>
      <c r="CR22" s="304"/>
      <c r="CS22" s="305"/>
      <c r="CV22" s="267"/>
      <c r="CW22" s="267"/>
      <c r="CX22" s="267"/>
      <c r="CY22" s="267"/>
      <c r="CZ22" s="267"/>
      <c r="DA22" s="267"/>
      <c r="DB22" s="267"/>
      <c r="DC22" s="267"/>
      <c r="DD22" s="267"/>
      <c r="DE22" s="267"/>
      <c r="DF22" s="267"/>
      <c r="DG22" s="267"/>
      <c r="DH22" s="267"/>
      <c r="DI22" s="267"/>
      <c r="DJ22" s="267"/>
      <c r="DK22" s="267"/>
      <c r="DL22" s="267"/>
      <c r="DM22" s="267"/>
      <c r="DN22" s="267"/>
      <c r="DO22" s="267"/>
      <c r="DP22" s="267"/>
      <c r="DQ22" s="267"/>
      <c r="DR22" s="270"/>
      <c r="DS22" s="270"/>
      <c r="DT22" s="270"/>
      <c r="DU22" s="270"/>
      <c r="DW22" s="278"/>
      <c r="DX22" s="278"/>
      <c r="DY22" s="281"/>
      <c r="DZ22" s="281"/>
      <c r="EB22" s="278"/>
      <c r="EC22" s="278"/>
      <c r="ED22" s="281"/>
      <c r="EE22" s="281"/>
    </row>
    <row r="23" spans="1:158">
      <c r="A23" s="205"/>
      <c r="B23" s="205"/>
      <c r="C23" s="201"/>
      <c r="D23" s="201"/>
      <c r="E23" s="201"/>
      <c r="F23" s="201"/>
      <c r="G23" s="201"/>
      <c r="H23" s="201"/>
      <c r="I23" s="56"/>
      <c r="J23" s="56"/>
      <c r="K23" s="206"/>
      <c r="L23" s="206"/>
      <c r="M23" s="206"/>
      <c r="N23" s="206"/>
      <c r="O23" s="206"/>
      <c r="P23" s="206"/>
      <c r="Q23" s="206"/>
      <c r="R23" s="206"/>
      <c r="S23" s="206"/>
      <c r="T23" s="206"/>
      <c r="U23" s="206"/>
      <c r="V23" s="206"/>
      <c r="W23" s="206"/>
      <c r="X23" s="206"/>
      <c r="Y23" s="206"/>
      <c r="Z23" s="209"/>
      <c r="AA23" s="207"/>
      <c r="AB23" s="207"/>
      <c r="AC23" s="207"/>
      <c r="AD23" s="207"/>
      <c r="AE23" s="207"/>
      <c r="AF23" s="207"/>
      <c r="AG23" s="207"/>
      <c r="AH23" s="207"/>
      <c r="AI23" s="207"/>
      <c r="AJ23" s="207"/>
      <c r="AK23" s="207"/>
      <c r="AL23" s="207"/>
      <c r="AM23" s="207"/>
      <c r="AN23" s="207"/>
      <c r="AO23" s="303"/>
      <c r="AP23" s="303"/>
      <c r="AQ23" s="303"/>
      <c r="AR23" s="303"/>
      <c r="AS23" s="303"/>
      <c r="AT23" s="303"/>
      <c r="AU23" s="303"/>
      <c r="AV23" s="303"/>
      <c r="AW23" s="303"/>
      <c r="AX23" s="303"/>
      <c r="AY23" s="303"/>
      <c r="AZ23" s="303"/>
      <c r="BA23" s="207"/>
      <c r="BB23" s="207"/>
      <c r="BC23" s="207"/>
      <c r="BD23" s="207"/>
      <c r="BE23" s="207"/>
      <c r="BF23" s="207"/>
      <c r="BG23" s="207"/>
      <c r="BH23" s="207"/>
      <c r="BI23" s="207"/>
      <c r="BJ23" s="207"/>
      <c r="BK23" s="207"/>
      <c r="BL23" s="207"/>
      <c r="BM23" s="207"/>
      <c r="BN23" s="207"/>
      <c r="BO23" s="207"/>
      <c r="BP23" s="207"/>
      <c r="BQ23" s="207"/>
      <c r="BR23" s="207"/>
      <c r="BS23" s="207"/>
      <c r="BT23" s="207"/>
      <c r="BU23" s="207"/>
      <c r="BV23" s="207"/>
      <c r="BW23" s="207"/>
      <c r="BX23" s="207"/>
      <c r="BY23" s="207"/>
      <c r="BZ23" s="207"/>
      <c r="CA23" s="207"/>
      <c r="CB23" s="207"/>
      <c r="CC23" s="207"/>
      <c r="CD23" s="207"/>
      <c r="CE23" s="304"/>
      <c r="CF23" s="304"/>
      <c r="CG23" s="304"/>
      <c r="CH23" s="304"/>
      <c r="CI23" s="304"/>
      <c r="CJ23" s="304"/>
      <c r="CK23" s="304"/>
      <c r="CL23" s="304"/>
      <c r="CM23" s="304"/>
      <c r="CN23" s="304"/>
      <c r="CO23" s="304"/>
      <c r="CP23" s="304"/>
      <c r="CQ23" s="304"/>
      <c r="CR23" s="304"/>
      <c r="CS23" s="305"/>
      <c r="CV23" s="267"/>
      <c r="CW23" s="267"/>
      <c r="CX23" s="267"/>
      <c r="CY23" s="267"/>
      <c r="CZ23" s="267"/>
      <c r="DA23" s="267"/>
      <c r="DB23" s="267"/>
      <c r="DC23" s="267"/>
      <c r="DD23" s="267"/>
      <c r="DE23" s="267"/>
      <c r="DF23" s="267"/>
      <c r="DG23" s="267"/>
      <c r="DH23" s="267"/>
      <c r="DI23" s="267"/>
      <c r="DJ23" s="267"/>
      <c r="DK23" s="267"/>
      <c r="DL23" s="267"/>
      <c r="DM23" s="267"/>
      <c r="DN23" s="267"/>
      <c r="DO23" s="267"/>
      <c r="DP23" s="267"/>
      <c r="DQ23" s="267"/>
      <c r="DR23" s="270"/>
      <c r="DS23" s="270"/>
      <c r="DT23" s="270"/>
      <c r="DU23" s="270"/>
      <c r="DW23" s="278"/>
      <c r="DX23" s="278"/>
      <c r="DY23" s="281"/>
      <c r="DZ23" s="281"/>
      <c r="EB23" s="278"/>
      <c r="EC23" s="278"/>
      <c r="ED23" s="281"/>
      <c r="EE23" s="281"/>
    </row>
    <row r="24" spans="1:158">
      <c r="I24" s="56"/>
      <c r="J24" s="56"/>
      <c r="DW24" s="278"/>
      <c r="DX24" s="278" t="s">
        <v>26</v>
      </c>
      <c r="DY24" s="281">
        <f>SUM(DY17:DY23)</f>
        <v>2148.3388867000585</v>
      </c>
      <c r="DZ24" s="281">
        <f>SUM(DZ17:DZ23)</f>
        <v>5.6854367715203962</v>
      </c>
      <c r="EC24" s="278" t="s">
        <v>26</v>
      </c>
      <c r="ED24" s="281">
        <f>DY24</f>
        <v>2148.3388867000585</v>
      </c>
      <c r="EE24" s="281">
        <f>DZ24</f>
        <v>5.6854367715203962</v>
      </c>
    </row>
    <row r="25" spans="1:158">
      <c r="A25" s="205"/>
      <c r="B25" s="205"/>
      <c r="C25" s="201"/>
      <c r="D25" s="201"/>
      <c r="E25" s="201"/>
      <c r="F25" s="201"/>
      <c r="G25" s="201"/>
      <c r="H25" s="201"/>
      <c r="I25" s="56"/>
      <c r="J25" s="56"/>
      <c r="ED25" s="230">
        <f>SUM(ED17:ED23)-ED24</f>
        <v>0</v>
      </c>
      <c r="EE25" s="230" t="b">
        <f>SUM(EE17:EE23)=EE24</f>
        <v>1</v>
      </c>
    </row>
    <row r="26" spans="1:158">
      <c r="A26" s="205"/>
      <c r="B26" s="205"/>
      <c r="C26" s="201"/>
      <c r="D26" s="201"/>
      <c r="E26" s="201"/>
      <c r="F26" s="201"/>
      <c r="G26" s="201"/>
      <c r="H26" s="201"/>
      <c r="I26" s="56"/>
      <c r="J26" s="56"/>
    </row>
    <row r="27" spans="1:158">
      <c r="A27" s="205"/>
      <c r="B27" s="205"/>
      <c r="C27" s="201"/>
      <c r="D27" s="201"/>
      <c r="E27" s="201"/>
      <c r="F27" s="201"/>
      <c r="G27" s="201"/>
      <c r="H27" s="201"/>
      <c r="I27" s="56"/>
      <c r="J27" s="56"/>
    </row>
    <row r="28" spans="1:158">
      <c r="A28" s="205"/>
      <c r="B28" s="205"/>
      <c r="C28" s="201"/>
      <c r="D28" s="201"/>
      <c r="E28" s="201"/>
      <c r="F28" s="201"/>
      <c r="G28" s="201"/>
      <c r="H28" s="201"/>
      <c r="I28" s="56"/>
      <c r="J28" s="56"/>
    </row>
    <row r="29" spans="1:158">
      <c r="A29" s="205"/>
      <c r="B29" s="205"/>
      <c r="C29" s="201"/>
      <c r="D29" s="201"/>
      <c r="E29" s="201"/>
      <c r="F29" s="201"/>
      <c r="G29" s="201"/>
      <c r="H29" s="352">
        <f>SUM(H17:H28)</f>
        <v>5866.800166740938</v>
      </c>
      <c r="I29" s="97" t="b">
        <f>H29=M7*(1+KTDB_발생량도착량_증가율!$C$8*5)</f>
        <v>0</v>
      </c>
      <c r="J29" s="230"/>
    </row>
    <row r="53" spans="1:164">
      <c r="FA53" s="277"/>
    </row>
    <row r="54" spans="1:164">
      <c r="FA54" s="277"/>
    </row>
    <row r="55" spans="1:164">
      <c r="FA55" s="277"/>
    </row>
    <row r="56" spans="1:164" s="227" customFormat="1" ht="19.5">
      <c r="A56" s="329">
        <v>2025</v>
      </c>
      <c r="B56" s="282"/>
      <c r="C56" s="283"/>
      <c r="D56" s="284"/>
      <c r="E56" s="284"/>
      <c r="F56" s="284"/>
      <c r="G56" s="284"/>
      <c r="H56" s="284"/>
      <c r="I56" s="284"/>
      <c r="K56" s="282"/>
      <c r="L56" s="282"/>
      <c r="M56" s="283"/>
      <c r="N56" s="284"/>
      <c r="O56" s="284"/>
      <c r="P56" s="284"/>
      <c r="Q56" s="284"/>
      <c r="R56" s="284"/>
      <c r="S56" s="284"/>
    </row>
    <row r="57" spans="1:164" ht="23.5" thickBot="1">
      <c r="A57" s="32" t="s">
        <v>641</v>
      </c>
      <c r="C57" t="s">
        <v>463</v>
      </c>
      <c r="D57" t="s">
        <v>467</v>
      </c>
      <c r="E57" t="s">
        <v>470</v>
      </c>
      <c r="F57" t="s">
        <v>465</v>
      </c>
      <c r="G57" t="s">
        <v>466</v>
      </c>
      <c r="H57" t="s">
        <v>21</v>
      </c>
      <c r="K57" s="32" t="s">
        <v>471</v>
      </c>
      <c r="CV57" s="32" t="s">
        <v>492</v>
      </c>
      <c r="CY57" t="s">
        <v>478</v>
      </c>
      <c r="CZ57" t="s">
        <v>479</v>
      </c>
      <c r="EL57" s="353" t="s">
        <v>855</v>
      </c>
      <c r="EV57" s="353" t="s">
        <v>745</v>
      </c>
    </row>
    <row r="58" spans="1:164">
      <c r="A58" t="s">
        <v>462</v>
      </c>
      <c r="C58" t="s">
        <v>427</v>
      </c>
      <c r="D58" t="s">
        <v>428</v>
      </c>
      <c r="E58" t="s">
        <v>429</v>
      </c>
      <c r="F58" t="s">
        <v>430</v>
      </c>
      <c r="G58" t="s">
        <v>431</v>
      </c>
      <c r="H58" t="s">
        <v>457</v>
      </c>
      <c r="K58" s="159" t="s">
        <v>482</v>
      </c>
      <c r="L58" s="159"/>
      <c r="M58" s="443" t="s">
        <v>463</v>
      </c>
      <c r="N58" s="444"/>
      <c r="O58" s="444"/>
      <c r="P58" s="444"/>
      <c r="Q58" s="444"/>
      <c r="R58" s="444"/>
      <c r="S58" s="444"/>
      <c r="T58" s="444"/>
      <c r="U58" s="444"/>
      <c r="V58" s="444"/>
      <c r="W58" s="444"/>
      <c r="X58" s="444"/>
      <c r="Y58" s="444"/>
      <c r="Z58" s="445"/>
      <c r="AA58" s="443" t="s">
        <v>467</v>
      </c>
      <c r="AB58" s="444"/>
      <c r="AC58" s="444"/>
      <c r="AD58" s="444"/>
      <c r="AE58" s="444"/>
      <c r="AF58" s="444"/>
      <c r="AG58" s="444"/>
      <c r="AH58" s="444"/>
      <c r="AI58" s="444"/>
      <c r="AJ58" s="444"/>
      <c r="AK58" s="444"/>
      <c r="AL58" s="444"/>
      <c r="AM58" s="444"/>
      <c r="AN58" s="445"/>
      <c r="AO58" s="443" t="s">
        <v>464</v>
      </c>
      <c r="AP58" s="444"/>
      <c r="AQ58" s="444"/>
      <c r="AR58" s="444"/>
      <c r="AS58" s="444"/>
      <c r="AT58" s="444"/>
      <c r="AU58" s="444"/>
      <c r="AV58" s="444"/>
      <c r="AW58" s="444"/>
      <c r="AX58" s="444"/>
      <c r="AY58" s="444"/>
      <c r="AZ58" s="444"/>
      <c r="BA58" s="444"/>
      <c r="BB58" s="445"/>
      <c r="BC58" s="443" t="s">
        <v>465</v>
      </c>
      <c r="BD58" s="444"/>
      <c r="BE58" s="444"/>
      <c r="BF58" s="444"/>
      <c r="BG58" s="444"/>
      <c r="BH58" s="444"/>
      <c r="BI58" s="444"/>
      <c r="BJ58" s="444"/>
      <c r="BK58" s="444"/>
      <c r="BL58" s="444"/>
      <c r="BM58" s="444"/>
      <c r="BN58" s="444"/>
      <c r="BO58" s="444"/>
      <c r="BP58" s="445"/>
      <c r="BQ58" s="443" t="s">
        <v>466</v>
      </c>
      <c r="BR58" s="444"/>
      <c r="BS58" s="444"/>
      <c r="BT58" s="444"/>
      <c r="BU58" s="444"/>
      <c r="BV58" s="444"/>
      <c r="BW58" s="444"/>
      <c r="BX58" s="444"/>
      <c r="BY58" s="444"/>
      <c r="BZ58" s="444"/>
      <c r="CA58" s="444"/>
      <c r="CB58" s="444"/>
      <c r="CC58" s="444"/>
      <c r="CD58" s="445"/>
      <c r="CE58" s="443" t="s">
        <v>21</v>
      </c>
      <c r="CF58" s="444"/>
      <c r="CG58" s="444"/>
      <c r="CH58" s="444"/>
      <c r="CI58" s="444"/>
      <c r="CJ58" s="444"/>
      <c r="CK58" s="444"/>
      <c r="CL58" s="444"/>
      <c r="CM58" s="444"/>
      <c r="CN58" s="444"/>
      <c r="CO58" s="444"/>
      <c r="CP58" s="444"/>
      <c r="CQ58" s="444"/>
      <c r="CR58" s="445"/>
      <c r="CV58" s="263" t="s">
        <v>482</v>
      </c>
      <c r="CW58" s="263"/>
      <c r="CX58" s="446" t="s">
        <v>554</v>
      </c>
      <c r="CY58" s="439"/>
      <c r="CZ58" s="439"/>
      <c r="DA58" s="440"/>
      <c r="DB58" s="438" t="s">
        <v>553</v>
      </c>
      <c r="DC58" s="439"/>
      <c r="DD58" s="439"/>
      <c r="DE58" s="440"/>
      <c r="DF58" s="438" t="s">
        <v>464</v>
      </c>
      <c r="DG58" s="439"/>
      <c r="DH58" s="439"/>
      <c r="DI58" s="440"/>
      <c r="DJ58" s="438" t="s">
        <v>465</v>
      </c>
      <c r="DK58" s="439"/>
      <c r="DL58" s="439"/>
      <c r="DM58" s="440"/>
      <c r="DN58" s="438" t="s">
        <v>466</v>
      </c>
      <c r="DO58" s="439"/>
      <c r="DP58" s="439"/>
      <c r="DQ58" s="440"/>
      <c r="DR58" s="438" t="s">
        <v>21</v>
      </c>
      <c r="DS58" s="439"/>
      <c r="DT58" s="439"/>
      <c r="DU58" s="441"/>
      <c r="DW58" s="278"/>
      <c r="DX58" s="278"/>
      <c r="DY58" s="442" t="s">
        <v>588</v>
      </c>
      <c r="DZ58" s="442"/>
      <c r="EB58" s="278"/>
      <c r="EC58" s="278"/>
      <c r="ED58" s="442" t="s">
        <v>588</v>
      </c>
      <c r="EE58" s="442"/>
      <c r="EI58" t="s">
        <v>599</v>
      </c>
    </row>
    <row r="59" spans="1:164">
      <c r="A59" s="199"/>
      <c r="B59" s="199"/>
      <c r="C59" s="202" t="s">
        <v>463</v>
      </c>
      <c r="D59" s="202" t="s">
        <v>467</v>
      </c>
      <c r="E59" s="202" t="s">
        <v>464</v>
      </c>
      <c r="F59" s="202" t="s">
        <v>465</v>
      </c>
      <c r="G59" s="202" t="s">
        <v>558</v>
      </c>
      <c r="H59" s="202" t="s">
        <v>21</v>
      </c>
      <c r="K59" s="159"/>
      <c r="L59" s="159"/>
      <c r="M59" s="211" t="s">
        <v>472</v>
      </c>
      <c r="N59" s="160" t="s">
        <v>156</v>
      </c>
      <c r="O59" s="160" t="s">
        <v>475</v>
      </c>
      <c r="P59" s="160" t="s">
        <v>476</v>
      </c>
      <c r="Q59" s="160" t="s">
        <v>477</v>
      </c>
      <c r="R59" s="160" t="s">
        <v>478</v>
      </c>
      <c r="S59" s="160" t="s">
        <v>479</v>
      </c>
      <c r="T59" s="160" t="s">
        <v>480</v>
      </c>
      <c r="U59" s="160" t="s">
        <v>449</v>
      </c>
      <c r="V59" s="160" t="s">
        <v>157</v>
      </c>
      <c r="W59" s="160" t="s">
        <v>473</v>
      </c>
      <c r="X59" s="160" t="s">
        <v>474</v>
      </c>
      <c r="Y59" s="160" t="s">
        <v>46</v>
      </c>
      <c r="Z59" s="212" t="s">
        <v>11</v>
      </c>
      <c r="AA59" s="211" t="s">
        <v>472</v>
      </c>
      <c r="AB59" s="160" t="s">
        <v>156</v>
      </c>
      <c r="AC59" s="160" t="s">
        <v>475</v>
      </c>
      <c r="AD59" s="160" t="s">
        <v>476</v>
      </c>
      <c r="AE59" s="160" t="s">
        <v>477</v>
      </c>
      <c r="AF59" s="160" t="s">
        <v>478</v>
      </c>
      <c r="AG59" s="160" t="s">
        <v>479</v>
      </c>
      <c r="AH59" s="160" t="s">
        <v>480</v>
      </c>
      <c r="AI59" s="160" t="s">
        <v>449</v>
      </c>
      <c r="AJ59" s="160" t="s">
        <v>157</v>
      </c>
      <c r="AK59" s="160" t="s">
        <v>473</v>
      </c>
      <c r="AL59" s="160" t="s">
        <v>474</v>
      </c>
      <c r="AM59" s="160" t="s">
        <v>46</v>
      </c>
      <c r="AN59" s="212" t="s">
        <v>11</v>
      </c>
      <c r="AO59" s="211" t="s">
        <v>472</v>
      </c>
      <c r="AP59" s="160" t="s">
        <v>156</v>
      </c>
      <c r="AQ59" s="160" t="s">
        <v>475</v>
      </c>
      <c r="AR59" s="160" t="s">
        <v>476</v>
      </c>
      <c r="AS59" s="160" t="s">
        <v>477</v>
      </c>
      <c r="AT59" s="160" t="s">
        <v>478</v>
      </c>
      <c r="AU59" s="160" t="s">
        <v>479</v>
      </c>
      <c r="AV59" s="160" t="s">
        <v>480</v>
      </c>
      <c r="AW59" s="160" t="s">
        <v>449</v>
      </c>
      <c r="AX59" s="160" t="s">
        <v>157</v>
      </c>
      <c r="AY59" s="160" t="s">
        <v>473</v>
      </c>
      <c r="AZ59" s="160" t="s">
        <v>474</v>
      </c>
      <c r="BA59" s="160" t="s">
        <v>46</v>
      </c>
      <c r="BB59" s="212" t="s">
        <v>11</v>
      </c>
      <c r="BC59" s="211" t="s">
        <v>472</v>
      </c>
      <c r="BD59" s="160" t="s">
        <v>156</v>
      </c>
      <c r="BE59" s="160" t="s">
        <v>475</v>
      </c>
      <c r="BF59" s="160" t="s">
        <v>476</v>
      </c>
      <c r="BG59" s="160" t="s">
        <v>477</v>
      </c>
      <c r="BH59" s="160" t="s">
        <v>478</v>
      </c>
      <c r="BI59" s="160" t="s">
        <v>479</v>
      </c>
      <c r="BJ59" s="160" t="s">
        <v>480</v>
      </c>
      <c r="BK59" s="160" t="s">
        <v>449</v>
      </c>
      <c r="BL59" s="160" t="s">
        <v>157</v>
      </c>
      <c r="BM59" s="160" t="s">
        <v>473</v>
      </c>
      <c r="BN59" s="160" t="s">
        <v>474</v>
      </c>
      <c r="BO59" s="160" t="s">
        <v>46</v>
      </c>
      <c r="BP59" s="212" t="s">
        <v>11</v>
      </c>
      <c r="BQ59" s="211" t="s">
        <v>472</v>
      </c>
      <c r="BR59" s="160" t="s">
        <v>156</v>
      </c>
      <c r="BS59" s="160" t="s">
        <v>475</v>
      </c>
      <c r="BT59" s="160" t="s">
        <v>476</v>
      </c>
      <c r="BU59" s="160" t="s">
        <v>477</v>
      </c>
      <c r="BV59" s="160" t="s">
        <v>478</v>
      </c>
      <c r="BW59" s="160" t="s">
        <v>479</v>
      </c>
      <c r="BX59" s="160" t="s">
        <v>480</v>
      </c>
      <c r="BY59" s="160" t="s">
        <v>449</v>
      </c>
      <c r="BZ59" s="160" t="s">
        <v>157</v>
      </c>
      <c r="CA59" s="160" t="s">
        <v>473</v>
      </c>
      <c r="CB59" s="160" t="s">
        <v>474</v>
      </c>
      <c r="CC59" s="160" t="s">
        <v>46</v>
      </c>
      <c r="CD59" s="212" t="s">
        <v>11</v>
      </c>
      <c r="CE59" s="211" t="s">
        <v>472</v>
      </c>
      <c r="CF59" s="160" t="s">
        <v>156</v>
      </c>
      <c r="CG59" s="160" t="s">
        <v>475</v>
      </c>
      <c r="CH59" s="160" t="s">
        <v>476</v>
      </c>
      <c r="CI59" s="160" t="s">
        <v>477</v>
      </c>
      <c r="CJ59" s="160" t="s">
        <v>478</v>
      </c>
      <c r="CK59" s="160" t="s">
        <v>479</v>
      </c>
      <c r="CL59" s="160" t="s">
        <v>480</v>
      </c>
      <c r="CM59" s="160" t="s">
        <v>449</v>
      </c>
      <c r="CN59" s="160" t="s">
        <v>157</v>
      </c>
      <c r="CO59" s="160" t="s">
        <v>473</v>
      </c>
      <c r="CP59" s="160" t="s">
        <v>474</v>
      </c>
      <c r="CQ59" s="160" t="s">
        <v>46</v>
      </c>
      <c r="CR59" s="212" t="s">
        <v>11</v>
      </c>
      <c r="CV59" s="263"/>
      <c r="CW59" s="263"/>
      <c r="CX59" s="264" t="s">
        <v>156</v>
      </c>
      <c r="CY59" s="264" t="s">
        <v>478</v>
      </c>
      <c r="CZ59" s="264" t="s">
        <v>479</v>
      </c>
      <c r="DA59" s="264" t="s">
        <v>157</v>
      </c>
      <c r="DB59" s="264" t="s">
        <v>156</v>
      </c>
      <c r="DC59" s="264" t="s">
        <v>478</v>
      </c>
      <c r="DD59" s="264" t="s">
        <v>479</v>
      </c>
      <c r="DE59" s="264" t="s">
        <v>157</v>
      </c>
      <c r="DF59" s="264" t="s">
        <v>156</v>
      </c>
      <c r="DG59" s="264" t="s">
        <v>478</v>
      </c>
      <c r="DH59" s="264" t="s">
        <v>479</v>
      </c>
      <c r="DI59" s="264" t="s">
        <v>157</v>
      </c>
      <c r="DJ59" s="264" t="s">
        <v>156</v>
      </c>
      <c r="DK59" s="264" t="s">
        <v>478</v>
      </c>
      <c r="DL59" s="264" t="s">
        <v>479</v>
      </c>
      <c r="DM59" s="264" t="s">
        <v>157</v>
      </c>
      <c r="DN59" s="264" t="s">
        <v>156</v>
      </c>
      <c r="DO59" s="264" t="s">
        <v>478</v>
      </c>
      <c r="DP59" s="264" t="s">
        <v>479</v>
      </c>
      <c r="DQ59" s="264" t="s">
        <v>157</v>
      </c>
      <c r="DR59" s="264" t="s">
        <v>156</v>
      </c>
      <c r="DS59" s="264" t="s">
        <v>478</v>
      </c>
      <c r="DT59" s="264" t="s">
        <v>479</v>
      </c>
      <c r="DU59" s="264" t="s">
        <v>157</v>
      </c>
      <c r="DW59" s="278"/>
      <c r="DX59" s="278"/>
      <c r="DY59" s="280" t="s">
        <v>585</v>
      </c>
      <c r="DZ59" s="280" t="s">
        <v>259</v>
      </c>
      <c r="EB59" s="278"/>
      <c r="EC59" s="278"/>
      <c r="ED59" s="280" t="s">
        <v>585</v>
      </c>
      <c r="EE59" s="280" t="s">
        <v>259</v>
      </c>
      <c r="EL59" s="420" t="s">
        <v>564</v>
      </c>
      <c r="EM59" s="420" t="s">
        <v>565</v>
      </c>
      <c r="EN59" s="420" t="s">
        <v>566</v>
      </c>
      <c r="EO59" s="420" t="s">
        <v>562</v>
      </c>
      <c r="EP59" s="421" t="s">
        <v>597</v>
      </c>
      <c r="EQ59" s="421" t="s">
        <v>585</v>
      </c>
      <c r="ER59" s="421" t="s">
        <v>259</v>
      </c>
      <c r="ES59" s="424" t="s">
        <v>867</v>
      </c>
      <c r="EV59" s="306" t="s">
        <v>564</v>
      </c>
      <c r="EW59" s="306" t="s">
        <v>565</v>
      </c>
      <c r="EX59" s="306" t="s">
        <v>566</v>
      </c>
      <c r="EY59" s="306" t="s">
        <v>562</v>
      </c>
      <c r="EZ59" s="307" t="s">
        <v>597</v>
      </c>
      <c r="FA59" s="307" t="s">
        <v>585</v>
      </c>
      <c r="FB59" s="307" t="s">
        <v>259</v>
      </c>
    </row>
    <row r="60" spans="1:164">
      <c r="A60" s="205"/>
      <c r="B60" s="205" t="s">
        <v>744</v>
      </c>
      <c r="C60" s="400">
        <f>$L$7*KTDB_TripDistribution_2045!T$12 * (1+KTDB_발생량도착량_증가율!$C$7*5) * (1+KTDB_발생량도착량_증가율!$D$8*5) * (1+KTDB_발생량도착량_증가율!$E$8*5) * (1+KTDB_발생량도착량_증가율!$F$8*5) * (1+KTDB_발생량도착량_증가율!$G$8*5)</f>
        <v>677.56794224043233</v>
      </c>
      <c r="D60" s="400">
        <f>$L$7*KTDB_TripDistribution_2045!U$12 * (1+KTDB_발생량도착량_증가율!$C$7*5) * (1+KTDB_발생량도착량_증가율!$D$8*5) * (1+KTDB_발생량도착량_증가율!$E$8*5) * (1+KTDB_발생량도착량_증가율!$F$8*5) * (1+KTDB_발생량도착량_증가율!$G$8*5)</f>
        <v>4903.6978159969731</v>
      </c>
      <c r="E60" s="400">
        <f>$L$7*KTDB_TripDistribution_2045!V$12 * (1+KTDB_발생량도착량_증가율!$C$7*5) * (1+KTDB_발생량도착량_증가율!$D$8*5) * (1+KTDB_발생량도착량_증가율!$E$8*5) * (1+KTDB_발생량도착량_증가율!$F$8*5) * (1+KTDB_발생량도착량_증가율!$G$8*5)</f>
        <v>281.31300603240186</v>
      </c>
      <c r="F60" s="400">
        <f>$L$7*KTDB_TripDistribution_2045!W$12 * (1+KTDB_발생량도착량_증가율!$C$7*5) * (1+KTDB_발생량도착량_증가율!$D$8*5) * (1+KTDB_발생량도착량_증가율!$E$8*5) * (1+KTDB_발생량도착량_증가율!$F$8*5) * (1+KTDB_발생량도착량_증가율!$G$8*5)</f>
        <v>0.4420843468293385</v>
      </c>
      <c r="G60" s="400">
        <f>$L$7*KTDB_TripDistribution_2045!X$12 * (1+KTDB_발생량도착량_증가율!$C$7*5) * (1+KTDB_발생량도착량_증가율!$D$8*5) * (1+KTDB_발생량도착량_증가율!$E$8*5) * (1+KTDB_발생량도착량_증가율!$F$8*5) * (1+KTDB_발생량도착량_증가율!$G$8*5)</f>
        <v>1.6700964213552771</v>
      </c>
      <c r="H60" s="400">
        <f>$L$7*KTDB_TripDistribution_2045!Y$12 * (1+KTDB_발생량도착량_증가율!$C$7*5) * (1+KTDB_발생량도착량_증가율!$D$8*5) * (1+KTDB_발생량도착량_증가율!$E$8*5) * (1+KTDB_발생량도착량_증가율!$F$8*5) * (1+KTDB_발생량도착량_증가율!$G$8*5)</f>
        <v>5864.6909450379926</v>
      </c>
      <c r="J60" s="230">
        <f t="shared" ref="J60" si="5">CR60</f>
        <v>5864.6909450379917</v>
      </c>
      <c r="K60" s="206"/>
      <c r="L60" s="206" t="s">
        <v>743</v>
      </c>
      <c r="M60" s="206">
        <f>INDEX($A$59:$H$60,MATCH($L60,$B$59:$B$60,0),MATCH($M$58,$A$59:$H$59,0))*고양시_Modal_split!C$3 * 0.01</f>
        <v>1.8971902382732102</v>
      </c>
      <c r="N60" s="206">
        <f>INDEX($A$59:$H$60,MATCH($L60,$B$59:$B$60,0),MATCH($M$58,$A$59:$H$59,0))*고양시_Modal_split!D$3 * 0.01</f>
        <v>318.66020323567534</v>
      </c>
      <c r="O60" s="206">
        <f>INDEX($A$59:$H$60,MATCH($L60,$B$59:$B$60,0),MATCH($M$58,$A$59:$H$59,0))*고양시_Modal_split!E$3 * 0.01</f>
        <v>38.553615913480598</v>
      </c>
      <c r="P60" s="206">
        <f>INDEX($A$59:$H$60,MATCH($L60,$B$59:$B$60,0),MATCH($M$58,$A$59:$H$59,0))*고양시_Modal_split!F$3 * 0.01</f>
        <v>62.132980303447653</v>
      </c>
      <c r="Q60" s="206">
        <f>INDEX($A$59:$H$60,MATCH($L60,$B$59:$B$60,0),MATCH($M$58,$A$59:$H$59,0))*고양시_Modal_split!G$3 * 0.01</f>
        <v>6.2336250686119774</v>
      </c>
      <c r="R60" s="206">
        <f>INDEX($A$59:$H$60,MATCH($L60,$B$59:$B$60,0),MATCH($M$58,$A$59:$H$59,0))*고양시_Modal_split!H$3 * 0.01</f>
        <v>6.7756794224043237E-2</v>
      </c>
      <c r="S60" s="206">
        <f>INDEX($A$59:$H$60,MATCH($L60,$B$59:$B$60,0),MATCH($M$58,$A$59:$H$59,0))*고양시_Modal_split!I$3 * 0.01</f>
        <v>18.836388794284016</v>
      </c>
      <c r="T60" s="206">
        <f>INDEX($A$59:$H$60,MATCH($L60,$B$59:$B$60,0),MATCH($M$58,$A$59:$H$59,0))*고양시_Modal_split!J$3 * 0.01</f>
        <v>206.2516816179876</v>
      </c>
      <c r="U60" s="206">
        <f>INDEX($A$59:$H$60,MATCH($L60,$B$59:$B$60,0),MATCH($M$58,$A$59:$H$59,0))*고양시_Modal_split!K$3 * 0.01</f>
        <v>1.0163519133606485</v>
      </c>
      <c r="V60" s="206">
        <f>INDEX($A$59:$H$60,MATCH($L60,$B$59:$B$60,0),MATCH($M$58,$A$59:$H$59,0))*고양시_Modal_split!L$3 * 0.01</f>
        <v>20.462551855661058</v>
      </c>
      <c r="W60" s="206">
        <f>INDEX($A$59:$H$60,MATCH($L60,$B$59:$B$60,0),MATCH($M$58,$A$59:$H$59,0))*고양시_Modal_split!M$3 * 0.01</f>
        <v>1.5584062671529944</v>
      </c>
      <c r="X60" s="206">
        <f>INDEX($A$59:$H$60,MATCH($L60,$B$59:$B$60,0),MATCH($M$58,$A$59:$H$59,0))*고양시_Modal_split!N$3 * 0.01</f>
        <v>0.67756794224043237</v>
      </c>
      <c r="Y60" s="206">
        <f>INDEX($A$59:$H$60,MATCH($L60,$B$59:$B$60,0),MATCH($M$58,$A$59:$H$59,0))*고양시_Modal_split!O$3 * 0.01</f>
        <v>1.2196222960327783</v>
      </c>
      <c r="Z60" s="209">
        <f>INDEX($A$59:$H$60,MATCH($L60,$B$59:$B$60,0),MATCH($M$58,$A$59:$H$59,0))*고양시_Modal_split!P$3 * 0.01</f>
        <v>677.56794224043233</v>
      </c>
      <c r="AA60" s="206">
        <f>INDEX($A$59:$H$60,MATCH($L60,$B$59:$B$60,0),MATCH($AA$58,$A$59:$H$59,0))*고양시_Modal_split!C$3 * 0.01</f>
        <v>13.730353884791523</v>
      </c>
      <c r="AB60" s="207">
        <f>INDEX($A$59:$H$60,MATCH($L60,$B$59:$B$60,0),MATCH($AA$58,$A$59:$H$59,0))*고양시_Modal_split!D$3 * 0.01</f>
        <v>2306.2090828633768</v>
      </c>
      <c r="AC60" s="207">
        <f>INDEX($A$59:$H$60,MATCH($L60,$B$59:$B$60,0),MATCH($AA$58,$A$59:$H$59,0))*고양시_Modal_split!E$3 * 0.01</f>
        <v>279.02040573022776</v>
      </c>
      <c r="AD60" s="207">
        <f>INDEX($A$59:$H$60,MATCH($L60,$B$59:$B$60,0),MATCH($AA$58,$A$59:$H$59,0))*고양시_Modal_split!F$3 * 0.01</f>
        <v>449.66908972692238</v>
      </c>
      <c r="AE60" s="207">
        <f>INDEX($A$59:$H$60,MATCH($L60,$B$59:$B$60,0),MATCH($AA$58,$A$59:$H$59,0))*고양시_Modal_split!G$3 * 0.01</f>
        <v>45.11401990717215</v>
      </c>
      <c r="AF60" s="207">
        <f>INDEX($A$59:$H$60,MATCH($L60,$B$59:$B$60,0),MATCH($AA$58,$A$59:$H$59,0))*고양시_Modal_split!H$3 * 0.01</f>
        <v>0.49036978159969735</v>
      </c>
      <c r="AG60" s="207">
        <f>INDEX($A$59:$H$60,MATCH($L60,$B$59:$B$60,0),MATCH($AA$58,$A$59:$H$59,0))*고양시_Modal_split!I$3 * 0.01</f>
        <v>136.32279928471584</v>
      </c>
      <c r="AH60" s="207">
        <f>INDEX($A$59:$H$60,MATCH($L60,$B$59:$B$60,0),MATCH($AA$58,$A$59:$H$59,0))*고양시_Modal_split!J$3 * 0.01</f>
        <v>1492.6856151894785</v>
      </c>
      <c r="AI60" s="207">
        <f>INDEX($A$59:$H$60,MATCH($L60,$B$59:$B$60,0),MATCH($AA$58,$A$59:$H$59,0))*고양시_Modal_split!K$3 * 0.01</f>
        <v>7.3555467239954595</v>
      </c>
      <c r="AJ60" s="207">
        <f>INDEX($A$59:$H$60,MATCH($L60,$B$59:$B$60,0),MATCH($AA$58,$A$59:$H$59,0))*고양시_Modal_split!L$3 * 0.01</f>
        <v>148.09167404310861</v>
      </c>
      <c r="AK60" s="207">
        <f>INDEX($A$59:$H$60,MATCH($L60,$B$59:$B$60,0),MATCH($AA$58,$A$59:$H$59,0))*고양시_Modal_split!M$3 * 0.01</f>
        <v>11.278504976793037</v>
      </c>
      <c r="AL60" s="207">
        <f>INDEX($A$59:$H$60,MATCH($L60,$B$59:$B$60,0),MATCH($AA$58,$A$59:$H$59,0))*고양시_Modal_split!N$3 * 0.01</f>
        <v>4.9036978159969733</v>
      </c>
      <c r="AM60" s="207">
        <f>INDEX($A$59:$H$60,MATCH($L60,$B$59:$B$60,0),MATCH($AA$58,$A$59:$H$59,0))*고양시_Modal_split!O$3 * 0.01</f>
        <v>8.8266560687945521</v>
      </c>
      <c r="AN60" s="207">
        <f>INDEX($A$59:$H$60,MATCH($L60,$B$59:$B$60,0),MATCH($AA$58,$A$59:$H$59,0))*고양시_Modal_split!P$3 * 0.01</f>
        <v>4903.6978159969731</v>
      </c>
      <c r="AO60" s="206">
        <f>INDEX($A$59:$H$60,MATCH($L60,$B$59:$B$60,0),MATCH($AO$58,$A$59:$H$59,0))*고양시_Modal_split!C$3 * 0.01</f>
        <v>0.78767641689072521</v>
      </c>
      <c r="AP60" s="303">
        <f>INDEX($A$59:$H$60,MATCH($L60,$B$59:$B$60,0),MATCH($AO$58,$A$59:$H$59,0))*고양시_Modal_split!D$3 * 0.01</f>
        <v>132.30150673703861</v>
      </c>
      <c r="AQ60" s="303">
        <f>INDEX($A$59:$H$60,MATCH($L60,$B$59:$B$60,0),MATCH($AO$58,$A$59:$H$59,0))*고양시_Modal_split!E$3 * 0.01</f>
        <v>16.006710043243665</v>
      </c>
      <c r="AR60" s="303">
        <f>INDEX($A$59:$H$60,MATCH($L60,$B$59:$B$60,0),MATCH($AO$58,$A$59:$H$59,0))*고양시_Modal_split!F$3 * 0.01</f>
        <v>25.796402653171249</v>
      </c>
      <c r="AS60" s="303">
        <f>INDEX($A$59:$H$60,MATCH($L60,$B$59:$B$60,0),MATCH($AO$58,$A$59:$H$59,0))*고양시_Modal_split!G$3 * 0.01</f>
        <v>2.5880796554980972</v>
      </c>
      <c r="AT60" s="303">
        <f>INDEX($A$59:$H$60,MATCH($L60,$B$59:$B$60,0),MATCH($AO$58,$A$59:$H$59,0))*고양시_Modal_split!H$3 * 0.01</f>
        <v>2.8131300603240188E-2</v>
      </c>
      <c r="AU60" s="303">
        <f>INDEX($A$59:$H$60,MATCH($L60,$B$59:$B$60,0),MATCH($AO$58,$A$59:$H$59,0))*고양시_Modal_split!I$3 * 0.01</f>
        <v>7.8205015677007719</v>
      </c>
      <c r="AV60" s="303">
        <f>INDEX($A$59:$H$60,MATCH($L60,$B$59:$B$60,0),MATCH($AO$58,$A$59:$H$59,0))*고양시_Modal_split!J$3 * 0.01</f>
        <v>85.631679036263122</v>
      </c>
      <c r="AW60" s="303">
        <f>INDEX($A$59:$H$60,MATCH($L60,$B$59:$B$60,0),MATCH($AO$58,$A$59:$H$59,0))*고양시_Modal_split!K$3 * 0.01</f>
        <v>0.42196950904860281</v>
      </c>
      <c r="AX60" s="303">
        <f>INDEX($A$59:$H$60,MATCH($L60,$B$59:$B$60,0),MATCH($AO$58,$A$59:$H$59,0))*고양시_Modal_split!L$3 * 0.01</f>
        <v>8.495652782178535</v>
      </c>
      <c r="AY60" s="303">
        <f>INDEX($A$59:$H$60,MATCH($L60,$B$59:$B$60,0),MATCH($AO$58,$A$59:$H$59,0))*고양시_Modal_split!M$3 * 0.01</f>
        <v>0.64701991387452429</v>
      </c>
      <c r="AZ60" s="303">
        <f>INDEX($A$59:$H$60,MATCH($L60,$B$59:$B$60,0),MATCH($AO$58,$A$59:$H$59,0))*고양시_Modal_split!N$3 * 0.01</f>
        <v>0.28131300603240189</v>
      </c>
      <c r="BA60" s="207">
        <f>INDEX($A$59:$H$60,MATCH($L60,$B$59:$B$60,0),MATCH($AO$58,$A$59:$H$59,0))*고양시_Modal_split!O$3 * 0.01</f>
        <v>0.50636341085832337</v>
      </c>
      <c r="BB60" s="207">
        <f>INDEX($A$59:$H$60,MATCH($L60,$B$59:$B$60,0),MATCH($AO$58,$A$59:$H$59,0))*고양시_Modal_split!P$3 * 0.01</f>
        <v>281.31300603240186</v>
      </c>
      <c r="BC60" s="207">
        <f>INDEX($A$59:$H$60,MATCH($L60,$B$59:$B$60,0),MATCH($BC$58,$A$59:$H$59,0))*고양시_Modal_split!C$3 * 0.01</f>
        <v>1.2378361711221477E-3</v>
      </c>
      <c r="BD60" s="207">
        <f>INDEX($A$59:$H$60,MATCH($L60,$B$59:$B$60,0),MATCH($BC$58,$A$59:$H$59,0))*고양시_Modal_split!D$3 * 0.01</f>
        <v>0.20791226831383791</v>
      </c>
      <c r="BE60" s="207">
        <f>INDEX($A$59:$H$60,MATCH($L60,$B$59:$B$60,0),MATCH($BC$58,$A$59:$H$59,0))*고양시_Modal_split!E$3 * 0.01</f>
        <v>2.5154599334589359E-2</v>
      </c>
      <c r="BF60" s="207">
        <f>INDEX($A$59:$H$60,MATCH($L60,$B$59:$B$60,0),MATCH($BC$58,$A$59:$H$59,0))*고양시_Modal_split!F$3 * 0.01</f>
        <v>4.0539134604250342E-2</v>
      </c>
      <c r="BG60" s="207">
        <f>INDEX($A$59:$H$60,MATCH($L60,$B$59:$B$60,0),MATCH($BC$58,$A$59:$H$59,0))*고양시_Modal_split!G$3 * 0.01</f>
        <v>4.0671759908299139E-3</v>
      </c>
      <c r="BH60" s="207">
        <f>INDEX($A$59:$H$60,MATCH($L60,$B$59:$B$60,0),MATCH($BC$58,$A$59:$H$59,0))*고양시_Modal_split!H$3 * 0.01</f>
        <v>4.4208434682933847E-5</v>
      </c>
      <c r="BI60" s="207">
        <f>INDEX($A$59:$H$60,MATCH($L60,$B$59:$B$60,0),MATCH($BC$58,$A$59:$H$59,0))*고양시_Modal_split!I$3 * 0.01</f>
        <v>1.228994484185561E-2</v>
      </c>
      <c r="BJ60" s="207">
        <f>INDEX($A$59:$H$60,MATCH($L60,$B$59:$B$60,0),MATCH($BC$58,$A$59:$H$59,0))*고양시_Modal_split!J$3 * 0.01</f>
        <v>0.13457047517485063</v>
      </c>
      <c r="BK60" s="207">
        <f>INDEX($A$59:$H$60,MATCH($L60,$B$59:$B$60,0),MATCH($BC$58,$A$59:$H$59,0))*고양시_Modal_split!K$3 * 0.01</f>
        <v>6.631265202440077E-4</v>
      </c>
      <c r="BL60" s="207">
        <f>INDEX($A$59:$H$60,MATCH($L60,$B$59:$B$60,0),MATCH($BC$58,$A$59:$H$59,0))*고양시_Modal_split!L$3 * 0.01</f>
        <v>1.3350947274246024E-2</v>
      </c>
      <c r="BM60" s="207">
        <f>INDEX($A$59:$H$60,MATCH($L60,$B$59:$B$60,0),MATCH($BC$58,$A$59:$H$59,0))*고양시_Modal_split!M$3 * 0.01</f>
        <v>1.0167939977074785E-3</v>
      </c>
      <c r="BN60" s="207">
        <f>INDEX($A$59:$H$60,MATCH($L60,$B$59:$B$60,0),MATCH($BC$58,$A$59:$H$59,0))*고양시_Modal_split!N$3 * 0.01</f>
        <v>4.4208434682933856E-4</v>
      </c>
      <c r="BO60" s="207">
        <f>INDEX($A$59:$H$60,MATCH($L60,$B$59:$B$60,0),MATCH($BC$58,$A$59:$H$59,0))*고양시_Modal_split!O$3 * 0.01</f>
        <v>7.9575182429280928E-4</v>
      </c>
      <c r="BP60" s="207">
        <f>INDEX($A$59:$H$60,MATCH($L60,$B$59:$B$60,0),MATCH($BC$58,$A$59:$H$59,0))*고양시_Modal_split!P$3 * 0.01</f>
        <v>0.4420843468293385</v>
      </c>
      <c r="BQ60" s="207">
        <f>INDEX($A$59:$H$60,MATCH($L60,$B$59:$B$60,0),MATCH($BQ$58,$A$59:$H$59,0))*고양시_Modal_split!C$3 * 0.01</f>
        <v>4.676269979794776E-3</v>
      </c>
      <c r="BR60" s="207">
        <f>INDEX($A$59:$H$60,MATCH($L60,$B$59:$B$60,0),MATCH($BQ$58,$A$59:$H$59,0))*고양시_Modal_split!D$3 * 0.01</f>
        <v>0.78544634696338689</v>
      </c>
      <c r="BS60" s="207">
        <f>INDEX($A$59:$H$60,MATCH($L60,$B$59:$B$60,0),MATCH($BQ$58,$A$59:$H$59,0))*고양시_Modal_split!E$3 * 0.01</f>
        <v>9.5028486375115268E-2</v>
      </c>
      <c r="BT60" s="207">
        <f>INDEX($A$59:$H$60,MATCH($L60,$B$59:$B$60,0),MATCH($BQ$58,$A$59:$H$59,0))*고양시_Modal_split!F$3 * 0.01</f>
        <v>0.15314784183827893</v>
      </c>
      <c r="BU60" s="207">
        <f>INDEX($A$59:$H$60,MATCH($L60,$B$59:$B$60,0),MATCH($BQ$58,$A$59:$H$59,0))*고양시_Modal_split!G$3 * 0.01</f>
        <v>1.5364887076468547E-2</v>
      </c>
      <c r="BV60" s="207">
        <f>INDEX($A$59:$H$60,MATCH($L60,$B$59:$B$60,0),MATCH($BQ$58,$A$59:$H$59,0))*고양시_Modal_split!H$3 * 0.01</f>
        <v>1.6700964213552772E-4</v>
      </c>
      <c r="BW60" s="207">
        <f>INDEX($A$59:$H$60,MATCH($L60,$B$59:$B$60,0),MATCH($BQ$58,$A$59:$H$59,0))*고양시_Modal_split!I$3 * 0.01</f>
        <v>4.6428680513676705E-2</v>
      </c>
      <c r="BX60" s="207">
        <f>INDEX($A$59:$H$60,MATCH($L60,$B$59:$B$60,0),MATCH($BQ$58,$A$59:$H$59,0))*고양시_Modal_split!J$3 * 0.01</f>
        <v>0.50837735066054646</v>
      </c>
      <c r="BY60" s="207">
        <f>INDEX($A$59:$H$60,MATCH($L60,$B$59:$B$60,0),MATCH($BQ$58,$A$59:$H$59,0))*고양시_Modal_split!K$3 * 0.01</f>
        <v>2.505144632032916E-3</v>
      </c>
      <c r="BZ60" s="207">
        <f>INDEX($A$59:$H$60,MATCH($L60,$B$59:$B$60,0),MATCH($BQ$58,$A$59:$H$59,0))*고양시_Modal_split!L$3 * 0.01</f>
        <v>5.043691192492937E-2</v>
      </c>
      <c r="CA60" s="207">
        <f>INDEX($A$59:$H$60,MATCH($L60,$B$59:$B$60,0),MATCH($BQ$58,$A$59:$H$59,0))*고양시_Modal_split!M$3 * 0.01</f>
        <v>3.8412217691171369E-3</v>
      </c>
      <c r="CB60" s="207">
        <f>INDEX($A$59:$H$60,MATCH($L60,$B$59:$B$60,0),MATCH($BQ$58,$A$59:$H$59,0))*고양시_Modal_split!N$3 * 0.01</f>
        <v>1.6700964213552771E-3</v>
      </c>
      <c r="CC60" s="207">
        <f>INDEX($A$59:$H$60,MATCH($L60,$B$59:$B$60,0),MATCH($BQ$58,$A$59:$H$59,0))*고양시_Modal_split!O$3 * 0.01</f>
        <v>3.0061735584394991E-3</v>
      </c>
      <c r="CD60" s="207">
        <f>INDEX($A$59:$H$60,MATCH($L60,$B$59:$B$60,0),MATCH($BQ$58,$A$59:$H$59,0))*고양시_Modal_split!P$3 * 0.01</f>
        <v>1.6700964213552771</v>
      </c>
      <c r="CE60" s="304">
        <f>M60+AA60+AO60+BC60+BQ60</f>
        <v>16.421134646106374</v>
      </c>
      <c r="CF60" s="304">
        <f t="shared" ref="CF60:CR60" si="6">N60+AB60+AP60+BD60+BR60</f>
        <v>2758.1641514513685</v>
      </c>
      <c r="CG60" s="304">
        <f t="shared" si="6"/>
        <v>333.70091477266175</v>
      </c>
      <c r="CH60" s="304">
        <f t="shared" si="6"/>
        <v>537.79215965998389</v>
      </c>
      <c r="CI60" s="304">
        <f t="shared" si="6"/>
        <v>53.955156694349519</v>
      </c>
      <c r="CJ60" s="304">
        <f t="shared" si="6"/>
        <v>0.58646909450379925</v>
      </c>
      <c r="CK60" s="304">
        <f t="shared" si="6"/>
        <v>163.03840827205616</v>
      </c>
      <c r="CL60" s="304">
        <f t="shared" si="6"/>
        <v>1785.2119236695646</v>
      </c>
      <c r="CM60" s="304">
        <f t="shared" si="6"/>
        <v>8.7970364175569884</v>
      </c>
      <c r="CN60" s="304">
        <f t="shared" si="6"/>
        <v>177.11366654014734</v>
      </c>
      <c r="CO60" s="304">
        <f t="shared" si="6"/>
        <v>13.48878917358738</v>
      </c>
      <c r="CP60" s="304">
        <f t="shared" si="6"/>
        <v>5.8646909450379923</v>
      </c>
      <c r="CQ60" s="304">
        <f t="shared" si="6"/>
        <v>10.556443701068387</v>
      </c>
      <c r="CR60" s="304">
        <f t="shared" si="6"/>
        <v>5864.6909450379917</v>
      </c>
      <c r="CS60" s="305">
        <f>H60-CR60</f>
        <v>0</v>
      </c>
      <c r="CV60" s="265"/>
      <c r="CW60" s="265" t="s">
        <v>743</v>
      </c>
      <c r="CX60" s="267">
        <f>INDEX($M$58:$Z$60,MATCH($CW60,$L$58:$L$60,0),MATCH(CX$59,$M$59:$Z$59,0))/INDEX(고양시_재차인원!$D$4:$H$35,MATCH("고양시",고양시_재차인원!$B$4:$B$35,0),MATCH($CX$58,고양시_재차인원!$D$4:$H$4,0))</f>
        <v>284.51803860328152</v>
      </c>
      <c r="CY60" s="267">
        <f>INDEX($M$58:$Z$60,MATCH($CW60,$L$58:$L$60,0),MATCH(CY$59,$M$59:$Z$59,0))/INDEX(고양시_재차인원!$K$4:$O$20,MATCH("경기도",고양시_재차인원!$K$4:$K$20,0),MATCH(CY$59,고양시_재차인원!$K$4:$O$4,0))</f>
        <v>2.3534836479348121E-3</v>
      </c>
      <c r="CZ60" s="267">
        <f>INDEX($M$58:$Z$60,MATCH($CW60,$L$58:$L$60,0),MATCH(CZ$59,$M$59:$Z$59,0))/INDEX(고양시_재차인원!$K$4:$O$20,MATCH("경기도",고양시_재차인원!$K$4:$K$20,0),MATCH(CZ$59,고양시_재차인원!$K$4:$O$4,0))</f>
        <v>0.65426845412587764</v>
      </c>
      <c r="DA60" s="267">
        <f>INDEX($M$58:$Z$60,MATCH($CW60,$L$58:$L$60,0),MATCH(DA$59,$M$59:$Z$59,0))/INDEX(고양시_재차인원!$D$4:$H$35,MATCH("고양시",고양시_재차인원!$B$4:$B$35,0),MATCH($CX$58,고양시_재차인원!$D$4:$H$4,0))</f>
        <v>18.270135585411658</v>
      </c>
      <c r="DB60" s="267">
        <f>INDEX($AA$58:$AN$60,MATCH($CW60,$L$58:$L$60,0),MATCH(DB$59,$AA$59:$AN$59,0))/INDEX(고양시_재차인원!$D$4:$H$35,MATCH("고양시",고양시_재차인원!$B$4:$B$35,0),MATCH($DB$58,고양시_재차인원!$D$4:$H$4,0))</f>
        <v>1635.6092786265085</v>
      </c>
      <c r="DC60" s="267">
        <f>INDEX($AA$58:$AN$60,MATCH($CW60,$L$58:$L$60,0),MATCH(DC$59,$AA$59:$AN$59,0))/INDEX(고양시_재차인원!$K$4:$O$20,MATCH("경기도",고양시_재차인원!$K$4:$K$20,0),MATCH(DC$59,고양시_재차인원!$K$4:$O$4,0))</f>
        <v>1.7032642639794975E-2</v>
      </c>
      <c r="DD60" s="267">
        <f>INDEX($AA$58:$AN$60,MATCH($CW60,$L$58:$L$60,0),MATCH(DD$59,$AA$59:$AN$59,0))/INDEX(고양시_재차인원!$K$4:$O$20,MATCH("경기도",고양시_재차인원!$K$4:$K$20,0),MATCH(DD$59,고양시_재차인원!$K$4:$O$4,0))</f>
        <v>4.7350746538630029</v>
      </c>
      <c r="DE60" s="267">
        <f>INDEX($AA$58:$AN$60,MATCH($CW60,$L$58:$L$60,0),MATCH(DE$59,$AA$59:$AN$59,0))/INDEX(고양시_재차인원!$D$4:$H$35,MATCH("고양시",고양시_재차인원!$B$4:$B$35,0),MATCH($DB$58,고양시_재차인원!$D$4:$H$4,0))</f>
        <v>105.02955605894228</v>
      </c>
      <c r="DF60" s="267">
        <f>INDEX($AO$58:$BB$60,MATCH($CW60,$L$15:$L$17,0),MATCH(DF$59,$AO$59:$BB$59,0))/INDEX(고양시_재차인원!$D$4:$H$35,MATCH("고양시",고양시_재차인원!$B$4:$B$35,0),MATCH($DF$58,고양시_재차인원!$D$4:$H$4,0))</f>
        <v>101.770389797722</v>
      </c>
      <c r="DG60" s="267">
        <f>INDEX($AO$58:$BB$60,MATCH($CW60,$L$15:$L$17,0),MATCH(DG$59,$AO$59:$BB$59,0))/INDEX(고양시_재차인원!$K$4:$O$20,MATCH("경기도",고양시_재차인원!$K$4:$K$20,0),MATCH(DG$59,고양시_재차인원!$K$4:$O$4,0))</f>
        <v>9.7712054891421285E-4</v>
      </c>
      <c r="DH60" s="267">
        <f>INDEX($AO$58:$BB$60,MATCH($CW60,$L$15:$L$17,0),MATCH(DH$59,$AO$59:$BB$59,0))/INDEX(고양시_재차인원!$K$4:$O$20,MATCH("경기도",고양시_재차인원!$K$4:$K$20,0),MATCH(DH$59,고양시_재차인원!$K$4:$O$4,0))</f>
        <v>0.27163951259815117</v>
      </c>
      <c r="DI60" s="267">
        <f>INDEX($AO$58:$BB$60,MATCH($CW60,$L$15:$L$17,0),MATCH(DI$59,$AO$59:$BB$59,0))/INDEX(고양시_재차인원!$D$4:$H$35,MATCH("고양시",고양시_재차인원!$B$4:$B$35,0),MATCH($DF$58,고양시_재차인원!$D$4:$H$4,0))</f>
        <v>6.5351175247527191</v>
      </c>
      <c r="DJ60" s="267">
        <f>INDEX($BC$58:$BP$60,MATCH($CW60,$L$58:$L$60,0),MATCH(DJ$59,$BC$59:$BP$59,0))/INDEX(고양시_재차인원!$D$4:$H$35,MATCH("고양시",고양시_재차인원!$B$4:$B$35,0),MATCH($DJ$58,고양시_재차인원!$D$4:$H$4,0))</f>
        <v>0.15287666787782198</v>
      </c>
      <c r="DK60" s="267">
        <f>INDEX($BC$58:$BP$60,MATCH($CW60,$L$58:$L$60,0),MATCH(DK$59,$BC$59:$BP$59,0))/INDEX(고양시_재차인원!$K$4:$O$20,MATCH("경기도",고양시_재차인원!$K$4:$K$20,0),MATCH(DK$59,고양시_재차인원!$K$4:$O$4,0))</f>
        <v>1.5355482696399391E-6</v>
      </c>
      <c r="DL60" s="267">
        <f>INDEX($BC$58:$BP$60,MATCH($CW60,$L$58:$L$60,0),MATCH(DL$59,$BC$59:$BP$59,0))/INDEX(고양시_재차인원!$K$4:$O$20,MATCH("경기도",고양시_재차인원!$K$4:$K$20,0),MATCH(DL$59,고양시_재차인원!$K$4:$O$4,0))</f>
        <v>4.2688241895990313E-4</v>
      </c>
      <c r="DM60" s="267">
        <f>INDEX($BC$58:$BP$60,MATCH($CW60,$L$58:$L$60,0),MATCH(DM$59,$BC$59:$BP$59,0))/INDEX(고양시_재차인원!$D$4:$H$35,MATCH("고양시",고양시_재차인원!$B$4:$B$35,0),MATCH($DJ$58,고양시_재차인원!$D$4:$H$4,0))</f>
        <v>9.8168729957691346E-3</v>
      </c>
      <c r="DN60" s="267">
        <f>INDEX($BQ$58:$CD$60,MATCH($CW60,$L$58:$L$60,0),MATCH(DN$59,$BQ$59:$CD$59,0))/INDEX(고양시_재차인원!$D$4:$H$35,MATCH("고양시",고양시_재차인원!$B$4:$B$35,0),MATCH($DN$58,고양시_재차인원!$D$4:$H$4,0))</f>
        <v>0.62337011663760866</v>
      </c>
      <c r="DO60" s="267">
        <f>INDEX($BQ$58:$CD$60,MATCH($CW60,$L$58:$L$60,0),MATCH(DO$59,$BQ$59:$CD$59,0))/INDEX(고양시_재차인원!$K$4:$O$20,MATCH("경기도",고양시_재차인원!$K$4:$K$20,0),MATCH(DO$59,고양시_재차인원!$K$4:$O$4,0))</f>
        <v>5.8009601297508758E-6</v>
      </c>
      <c r="DP60" s="267">
        <f>INDEX($BQ$58:$CD$60,MATCH($CW60,$L$58:$L$60,0),MATCH(DP$59,$BQ$59:$CD$59,0))/INDEX(고양시_재차인원!$K$4:$O$20,MATCH("경기도",고양시_재차인원!$K$4:$K$20,0),MATCH(DP$59,고양시_재차인원!$K$4:$O$4,0))</f>
        <v>1.6126669160707436E-3</v>
      </c>
      <c r="DQ60" s="267">
        <f>INDEX($BQ$58:$CD$60,MATCH($CW60,$L$58:$L$60,0),MATCH(DQ$59,$BQ$59:$CD$59,0))/INDEX(고양시_재차인원!$D$4:$H$35,MATCH("고양시",고양시_재차인원!$B$4:$B$35,0),MATCH($DN$58,고양시_재차인원!$D$4:$H$4,0))</f>
        <v>4.0029295178515376E-2</v>
      </c>
      <c r="DR60" s="270">
        <f>CX60+DB60+DF60+DJ60+DN60</f>
        <v>2022.6739538120275</v>
      </c>
      <c r="DS60" s="270">
        <f t="shared" ref="DS60:DU60" si="7">CY60+DC60+DG60+DK60+DO60</f>
        <v>2.0370583345043391E-2</v>
      </c>
      <c r="DT60" s="270">
        <f>CZ60+DD60+DH60+DL60+DP60</f>
        <v>5.663022169922062</v>
      </c>
      <c r="DU60" s="270">
        <f t="shared" si="7"/>
        <v>129.88465533728095</v>
      </c>
      <c r="DW60" s="278"/>
      <c r="DX60" s="278" t="s">
        <v>743</v>
      </c>
      <c r="DY60" s="281">
        <f>DR60+DU60</f>
        <v>2152.5586091493087</v>
      </c>
      <c r="DZ60" s="281">
        <f>DS60+DT60</f>
        <v>5.6833927532671051</v>
      </c>
      <c r="EB60" s="278"/>
      <c r="EC60" s="278" t="s">
        <v>743</v>
      </c>
      <c r="ED60" s="281">
        <f>DY60</f>
        <v>2152.5586091493087</v>
      </c>
      <c r="EE60" s="281">
        <f t="shared" ref="EE60" si="8">DZ60</f>
        <v>5.6833927532671051</v>
      </c>
      <c r="EL60" s="420" t="s">
        <v>728</v>
      </c>
      <c r="EM60" s="420"/>
      <c r="EN60" s="420"/>
      <c r="EO60" s="420"/>
      <c r="EP60" s="421">
        <v>849201</v>
      </c>
      <c r="EQ60" s="422">
        <f>ED67</f>
        <v>2152.5586091493087</v>
      </c>
      <c r="ER60" s="422">
        <f>EE67</f>
        <v>5.6833927532671051</v>
      </c>
      <c r="ES60">
        <v>0</v>
      </c>
      <c r="EV60" s="306" t="s">
        <v>728</v>
      </c>
      <c r="EW60" s="306"/>
      <c r="EX60" s="306"/>
      <c r="EY60" s="306"/>
      <c r="EZ60" s="307">
        <v>849301</v>
      </c>
      <c r="FA60" s="308">
        <f>EQ60*$EU$10</f>
        <v>2152.5586091493087</v>
      </c>
      <c r="FB60" s="308">
        <f t="shared" ref="FB60" si="9">ER60*$EU$10</f>
        <v>5.6833927532671051</v>
      </c>
    </row>
    <row r="61" spans="1:164">
      <c r="A61" s="205"/>
      <c r="B61" s="205"/>
      <c r="C61" s="201"/>
      <c r="D61" s="201"/>
      <c r="E61" s="201"/>
      <c r="F61" s="201"/>
      <c r="G61" s="201"/>
      <c r="H61" s="201"/>
      <c r="J61" s="230"/>
      <c r="K61" s="206"/>
      <c r="L61" s="206"/>
      <c r="M61" s="206"/>
      <c r="N61" s="206"/>
      <c r="O61" s="206"/>
      <c r="P61" s="206"/>
      <c r="Q61" s="206"/>
      <c r="R61" s="206"/>
      <c r="S61" s="206"/>
      <c r="T61" s="206"/>
      <c r="U61" s="206"/>
      <c r="V61" s="206"/>
      <c r="W61" s="206"/>
      <c r="X61" s="206"/>
      <c r="Y61" s="206"/>
      <c r="Z61" s="209"/>
      <c r="AA61" s="207"/>
      <c r="AB61" s="207"/>
      <c r="AC61" s="207"/>
      <c r="AD61" s="207"/>
      <c r="AE61" s="207"/>
      <c r="AF61" s="207"/>
      <c r="AG61" s="207"/>
      <c r="AH61" s="207"/>
      <c r="AI61" s="207"/>
      <c r="AJ61" s="207"/>
      <c r="AK61" s="207"/>
      <c r="AL61" s="207"/>
      <c r="AM61" s="207"/>
      <c r="AN61" s="207"/>
      <c r="AO61" s="303"/>
      <c r="AP61" s="303"/>
      <c r="AQ61" s="303"/>
      <c r="AR61" s="303"/>
      <c r="AS61" s="303"/>
      <c r="AT61" s="303"/>
      <c r="AU61" s="303"/>
      <c r="AV61" s="303"/>
      <c r="AW61" s="303"/>
      <c r="AX61" s="303"/>
      <c r="AY61" s="303"/>
      <c r="AZ61" s="303"/>
      <c r="BA61" s="207"/>
      <c r="BB61" s="207"/>
      <c r="BC61" s="207"/>
      <c r="BD61" s="207"/>
      <c r="BE61" s="207"/>
      <c r="BF61" s="207"/>
      <c r="BG61" s="207"/>
      <c r="BH61" s="207"/>
      <c r="BI61" s="207"/>
      <c r="BJ61" s="207"/>
      <c r="BK61" s="207"/>
      <c r="BL61" s="207"/>
      <c r="BM61" s="207"/>
      <c r="BN61" s="207"/>
      <c r="BO61" s="207"/>
      <c r="BP61" s="207"/>
      <c r="BQ61" s="207"/>
      <c r="BR61" s="207"/>
      <c r="BS61" s="207"/>
      <c r="BT61" s="207"/>
      <c r="BU61" s="207"/>
      <c r="BV61" s="207"/>
      <c r="BW61" s="207"/>
      <c r="BX61" s="207"/>
      <c r="BY61" s="207"/>
      <c r="BZ61" s="207"/>
      <c r="CA61" s="207"/>
      <c r="CB61" s="207"/>
      <c r="CC61" s="207"/>
      <c r="CD61" s="207"/>
      <c r="CE61" s="304"/>
      <c r="CF61" s="304"/>
      <c r="CG61" s="304"/>
      <c r="CH61" s="304"/>
      <c r="CI61" s="304"/>
      <c r="CJ61" s="304"/>
      <c r="CK61" s="304"/>
      <c r="CL61" s="304"/>
      <c r="CM61" s="304"/>
      <c r="CN61" s="304"/>
      <c r="CO61" s="304"/>
      <c r="CP61" s="304"/>
      <c r="CQ61" s="304"/>
      <c r="CR61" s="304"/>
      <c r="CS61" s="305"/>
      <c r="CV61" s="265"/>
      <c r="CW61" s="265"/>
      <c r="CX61" s="267"/>
      <c r="CY61" s="267"/>
      <c r="CZ61" s="267"/>
      <c r="DA61" s="267"/>
      <c r="DB61" s="267"/>
      <c r="DC61" s="267"/>
      <c r="DD61" s="267"/>
      <c r="DE61" s="267"/>
      <c r="DF61" s="267"/>
      <c r="DG61" s="267"/>
      <c r="DH61" s="267"/>
      <c r="DI61" s="267"/>
      <c r="DJ61" s="267"/>
      <c r="DK61" s="267"/>
      <c r="DL61" s="267"/>
      <c r="DM61" s="267"/>
      <c r="DN61" s="267"/>
      <c r="DO61" s="267"/>
      <c r="DP61" s="267"/>
      <c r="DQ61" s="267"/>
      <c r="DR61" s="270"/>
      <c r="DS61" s="270"/>
      <c r="DT61" s="270"/>
      <c r="DU61" s="270"/>
      <c r="DW61" s="278"/>
      <c r="DX61" s="278"/>
      <c r="DY61" s="281"/>
      <c r="DZ61" s="281"/>
      <c r="EB61" s="278"/>
      <c r="EC61" s="278"/>
      <c r="ED61" s="281"/>
      <c r="EE61" s="281"/>
      <c r="FH61" s="277"/>
    </row>
    <row r="62" spans="1:164">
      <c r="A62" s="205"/>
      <c r="B62" s="205"/>
      <c r="C62" s="201"/>
      <c r="D62" s="201"/>
      <c r="E62" s="201"/>
      <c r="F62" s="201"/>
      <c r="G62" s="201"/>
      <c r="H62" s="201"/>
      <c r="J62" s="230"/>
      <c r="K62" s="206"/>
      <c r="L62" s="206"/>
      <c r="M62" s="206"/>
      <c r="N62" s="206"/>
      <c r="O62" s="206"/>
      <c r="P62" s="206"/>
      <c r="Q62" s="206"/>
      <c r="R62" s="206"/>
      <c r="S62" s="206"/>
      <c r="T62" s="206"/>
      <c r="U62" s="206"/>
      <c r="V62" s="206"/>
      <c r="W62" s="206"/>
      <c r="X62" s="206"/>
      <c r="Y62" s="206"/>
      <c r="Z62" s="209"/>
      <c r="AA62" s="207"/>
      <c r="AB62" s="207"/>
      <c r="AC62" s="207"/>
      <c r="AD62" s="207"/>
      <c r="AE62" s="207"/>
      <c r="AF62" s="207"/>
      <c r="AG62" s="207"/>
      <c r="AH62" s="207"/>
      <c r="AI62" s="207"/>
      <c r="AJ62" s="207"/>
      <c r="AK62" s="207"/>
      <c r="AL62" s="207"/>
      <c r="AM62" s="207"/>
      <c r="AN62" s="207"/>
      <c r="AO62" s="303"/>
      <c r="AP62" s="303"/>
      <c r="AQ62" s="303"/>
      <c r="AR62" s="303"/>
      <c r="AS62" s="303"/>
      <c r="AT62" s="303"/>
      <c r="AU62" s="303"/>
      <c r="AV62" s="303"/>
      <c r="AW62" s="303"/>
      <c r="AX62" s="303"/>
      <c r="AY62" s="303"/>
      <c r="AZ62" s="303"/>
      <c r="BA62" s="207"/>
      <c r="BB62" s="207"/>
      <c r="BC62" s="207"/>
      <c r="BD62" s="207"/>
      <c r="BE62" s="207"/>
      <c r="BF62" s="207"/>
      <c r="BG62" s="207"/>
      <c r="BH62" s="207"/>
      <c r="BI62" s="207"/>
      <c r="BJ62" s="207"/>
      <c r="BK62" s="207"/>
      <c r="BL62" s="207"/>
      <c r="BM62" s="207"/>
      <c r="BN62" s="207"/>
      <c r="BO62" s="207"/>
      <c r="BP62" s="207"/>
      <c r="BQ62" s="207"/>
      <c r="BR62" s="207"/>
      <c r="BS62" s="207"/>
      <c r="BT62" s="207"/>
      <c r="BU62" s="207"/>
      <c r="BV62" s="207"/>
      <c r="BW62" s="207"/>
      <c r="BX62" s="207"/>
      <c r="BY62" s="207"/>
      <c r="BZ62" s="207"/>
      <c r="CA62" s="207"/>
      <c r="CB62" s="207"/>
      <c r="CC62" s="207"/>
      <c r="CD62" s="207"/>
      <c r="CE62" s="304"/>
      <c r="CF62" s="304"/>
      <c r="CG62" s="304"/>
      <c r="CH62" s="304"/>
      <c r="CI62" s="304"/>
      <c r="CJ62" s="304"/>
      <c r="CK62" s="304"/>
      <c r="CL62" s="304"/>
      <c r="CM62" s="304"/>
      <c r="CN62" s="304"/>
      <c r="CO62" s="304"/>
      <c r="CP62" s="304"/>
      <c r="CQ62" s="304"/>
      <c r="CR62" s="304"/>
      <c r="CS62" s="305"/>
      <c r="CV62" s="265"/>
      <c r="CW62" s="265"/>
      <c r="CX62" s="267"/>
      <c r="CY62" s="267"/>
      <c r="CZ62" s="267"/>
      <c r="DA62" s="267"/>
      <c r="DB62" s="267"/>
      <c r="DC62" s="267"/>
      <c r="DD62" s="267"/>
      <c r="DE62" s="267"/>
      <c r="DF62" s="267"/>
      <c r="DG62" s="267"/>
      <c r="DH62" s="267"/>
      <c r="DI62" s="267"/>
      <c r="DJ62" s="267"/>
      <c r="DK62" s="267"/>
      <c r="DL62" s="267"/>
      <c r="DM62" s="267"/>
      <c r="DN62" s="267"/>
      <c r="DO62" s="267"/>
      <c r="DP62" s="267"/>
      <c r="DQ62" s="267"/>
      <c r="DR62" s="270"/>
      <c r="DS62" s="270"/>
      <c r="DT62" s="270"/>
      <c r="DU62" s="270"/>
      <c r="DW62" s="278"/>
      <c r="DX62" s="278"/>
      <c r="DY62" s="281"/>
      <c r="DZ62" s="281"/>
      <c r="EB62" s="278"/>
      <c r="EC62" s="278"/>
      <c r="ED62" s="281"/>
      <c r="EE62" s="281"/>
      <c r="FH62" s="277"/>
    </row>
    <row r="63" spans="1:164">
      <c r="A63" s="205"/>
      <c r="B63" s="205"/>
      <c r="C63" s="201"/>
      <c r="D63" s="201"/>
      <c r="E63" s="201"/>
      <c r="F63" s="201"/>
      <c r="G63" s="201"/>
      <c r="H63" s="201"/>
      <c r="J63" s="230"/>
      <c r="K63" s="206"/>
      <c r="L63" s="206"/>
      <c r="M63" s="206"/>
      <c r="N63" s="206"/>
      <c r="O63" s="206"/>
      <c r="P63" s="206"/>
      <c r="Q63" s="206"/>
      <c r="R63" s="206"/>
      <c r="S63" s="206"/>
      <c r="T63" s="206"/>
      <c r="U63" s="206"/>
      <c r="V63" s="206"/>
      <c r="W63" s="206"/>
      <c r="X63" s="206"/>
      <c r="Y63" s="206"/>
      <c r="Z63" s="209"/>
      <c r="AA63" s="207"/>
      <c r="AB63" s="207"/>
      <c r="AC63" s="207"/>
      <c r="AD63" s="207"/>
      <c r="AE63" s="207"/>
      <c r="AF63" s="207"/>
      <c r="AG63" s="207"/>
      <c r="AH63" s="207"/>
      <c r="AI63" s="207"/>
      <c r="AJ63" s="207"/>
      <c r="AK63" s="207"/>
      <c r="AL63" s="207"/>
      <c r="AM63" s="207"/>
      <c r="AN63" s="207"/>
      <c r="AO63" s="303"/>
      <c r="AP63" s="303"/>
      <c r="AQ63" s="303"/>
      <c r="AR63" s="303"/>
      <c r="AS63" s="303"/>
      <c r="AT63" s="303"/>
      <c r="AU63" s="303"/>
      <c r="AV63" s="303"/>
      <c r="AW63" s="303"/>
      <c r="AX63" s="303"/>
      <c r="AY63" s="303"/>
      <c r="AZ63" s="303"/>
      <c r="BA63" s="207"/>
      <c r="BB63" s="207"/>
      <c r="BC63" s="207"/>
      <c r="BD63" s="207"/>
      <c r="BE63" s="207"/>
      <c r="BF63" s="207"/>
      <c r="BG63" s="207"/>
      <c r="BH63" s="207"/>
      <c r="BI63" s="207"/>
      <c r="BJ63" s="207"/>
      <c r="BK63" s="207"/>
      <c r="BL63" s="207"/>
      <c r="BM63" s="207"/>
      <c r="BN63" s="207"/>
      <c r="BO63" s="207"/>
      <c r="BP63" s="207"/>
      <c r="BQ63" s="207"/>
      <c r="BR63" s="207"/>
      <c r="BS63" s="207"/>
      <c r="BT63" s="207"/>
      <c r="BU63" s="207"/>
      <c r="BV63" s="207"/>
      <c r="BW63" s="207"/>
      <c r="BX63" s="207"/>
      <c r="BY63" s="207"/>
      <c r="BZ63" s="207"/>
      <c r="CA63" s="207"/>
      <c r="CB63" s="207"/>
      <c r="CC63" s="207"/>
      <c r="CD63" s="207"/>
      <c r="CE63" s="304"/>
      <c r="CF63" s="304"/>
      <c r="CG63" s="304"/>
      <c r="CH63" s="304"/>
      <c r="CI63" s="304"/>
      <c r="CJ63" s="304"/>
      <c r="CK63" s="304"/>
      <c r="CL63" s="304"/>
      <c r="CM63" s="304"/>
      <c r="CN63" s="304"/>
      <c r="CO63" s="304"/>
      <c r="CP63" s="304"/>
      <c r="CQ63" s="304"/>
      <c r="CR63" s="304"/>
      <c r="CS63" s="305"/>
      <c r="CV63" s="265"/>
      <c r="CW63" s="265"/>
      <c r="CX63" s="267"/>
      <c r="CY63" s="267"/>
      <c r="CZ63" s="267"/>
      <c r="DA63" s="267"/>
      <c r="DB63" s="267"/>
      <c r="DC63" s="267"/>
      <c r="DD63" s="267"/>
      <c r="DE63" s="267"/>
      <c r="DF63" s="267"/>
      <c r="DG63" s="267"/>
      <c r="DH63" s="267"/>
      <c r="DI63" s="267"/>
      <c r="DJ63" s="267"/>
      <c r="DK63" s="267"/>
      <c r="DL63" s="267"/>
      <c r="DM63" s="267"/>
      <c r="DN63" s="267"/>
      <c r="DO63" s="267"/>
      <c r="DP63" s="267"/>
      <c r="DQ63" s="267"/>
      <c r="DR63" s="270"/>
      <c r="DS63" s="270"/>
      <c r="DT63" s="270"/>
      <c r="DU63" s="270"/>
      <c r="DW63" s="278"/>
      <c r="DX63" s="278"/>
      <c r="DY63" s="281"/>
      <c r="DZ63" s="281"/>
      <c r="EB63" s="278"/>
      <c r="EC63" s="278"/>
      <c r="ED63" s="281"/>
      <c r="EE63" s="281"/>
      <c r="FH63" s="277"/>
    </row>
    <row r="64" spans="1:164">
      <c r="A64" s="205"/>
      <c r="B64" s="205"/>
      <c r="C64" s="201"/>
      <c r="D64" s="201"/>
      <c r="E64" s="201"/>
      <c r="F64" s="201"/>
      <c r="G64" s="201"/>
      <c r="H64" s="201"/>
      <c r="J64" s="230"/>
      <c r="K64" s="206"/>
      <c r="L64" s="206"/>
      <c r="M64" s="206"/>
      <c r="N64" s="206"/>
      <c r="O64" s="206"/>
      <c r="P64" s="206"/>
      <c r="Q64" s="206"/>
      <c r="R64" s="206"/>
      <c r="S64" s="206"/>
      <c r="T64" s="206"/>
      <c r="U64" s="206"/>
      <c r="V64" s="206"/>
      <c r="W64" s="206"/>
      <c r="X64" s="206"/>
      <c r="Y64" s="206"/>
      <c r="Z64" s="209"/>
      <c r="AA64" s="207"/>
      <c r="AB64" s="207"/>
      <c r="AC64" s="207"/>
      <c r="AD64" s="207"/>
      <c r="AE64" s="207"/>
      <c r="AF64" s="207"/>
      <c r="AG64" s="207"/>
      <c r="AH64" s="207"/>
      <c r="AI64" s="207"/>
      <c r="AJ64" s="207"/>
      <c r="AK64" s="207"/>
      <c r="AL64" s="207"/>
      <c r="AM64" s="207"/>
      <c r="AN64" s="207"/>
      <c r="AO64" s="303"/>
      <c r="AP64" s="303"/>
      <c r="AQ64" s="303"/>
      <c r="AR64" s="303"/>
      <c r="AS64" s="303"/>
      <c r="AT64" s="303"/>
      <c r="AU64" s="303"/>
      <c r="AV64" s="303"/>
      <c r="AW64" s="303"/>
      <c r="AX64" s="303"/>
      <c r="AY64" s="303"/>
      <c r="AZ64" s="303"/>
      <c r="BA64" s="207"/>
      <c r="BB64" s="207"/>
      <c r="BC64" s="207"/>
      <c r="BD64" s="207"/>
      <c r="BE64" s="207"/>
      <c r="BF64" s="207"/>
      <c r="BG64" s="207"/>
      <c r="BH64" s="207"/>
      <c r="BI64" s="207"/>
      <c r="BJ64" s="207"/>
      <c r="BK64" s="207"/>
      <c r="BL64" s="207"/>
      <c r="BM64" s="207"/>
      <c r="BN64" s="207"/>
      <c r="BO64" s="207"/>
      <c r="BP64" s="207"/>
      <c r="BQ64" s="207"/>
      <c r="BR64" s="207"/>
      <c r="BS64" s="207"/>
      <c r="BT64" s="207"/>
      <c r="BU64" s="207"/>
      <c r="BV64" s="207"/>
      <c r="BW64" s="207"/>
      <c r="BX64" s="207"/>
      <c r="BY64" s="207"/>
      <c r="BZ64" s="207"/>
      <c r="CA64" s="207"/>
      <c r="CB64" s="207"/>
      <c r="CC64" s="207"/>
      <c r="CD64" s="207"/>
      <c r="CE64" s="304"/>
      <c r="CF64" s="304"/>
      <c r="CG64" s="304"/>
      <c r="CH64" s="304"/>
      <c r="CI64" s="304"/>
      <c r="CJ64" s="304"/>
      <c r="CK64" s="304"/>
      <c r="CL64" s="304"/>
      <c r="CM64" s="304"/>
      <c r="CN64" s="304"/>
      <c r="CO64" s="304"/>
      <c r="CP64" s="304"/>
      <c r="CQ64" s="304"/>
      <c r="CR64" s="304"/>
      <c r="CS64" s="305"/>
      <c r="CV64" s="265"/>
      <c r="CW64" s="265"/>
      <c r="CX64" s="267"/>
      <c r="CY64" s="267"/>
      <c r="CZ64" s="267"/>
      <c r="DA64" s="267"/>
      <c r="DB64" s="267"/>
      <c r="DC64" s="267"/>
      <c r="DD64" s="267"/>
      <c r="DE64" s="267"/>
      <c r="DF64" s="267"/>
      <c r="DG64" s="267"/>
      <c r="DH64" s="267"/>
      <c r="DI64" s="267"/>
      <c r="DJ64" s="267"/>
      <c r="DK64" s="267"/>
      <c r="DL64" s="267"/>
      <c r="DM64" s="267"/>
      <c r="DN64" s="267"/>
      <c r="DO64" s="267"/>
      <c r="DP64" s="267"/>
      <c r="DQ64" s="267"/>
      <c r="DR64" s="270"/>
      <c r="DS64" s="270"/>
      <c r="DT64" s="270"/>
      <c r="DU64" s="270"/>
      <c r="DW64" s="278"/>
      <c r="DX64" s="278"/>
      <c r="DY64" s="281"/>
      <c r="DZ64" s="281"/>
      <c r="EB64" s="278"/>
      <c r="EC64" s="278"/>
      <c r="ED64" s="281"/>
      <c r="EE64" s="281"/>
      <c r="FH64" s="277"/>
    </row>
    <row r="65" spans="1:164">
      <c r="A65" s="205"/>
      <c r="B65" s="205"/>
      <c r="C65" s="201"/>
      <c r="D65" s="201"/>
      <c r="E65" s="201"/>
      <c r="F65" s="201"/>
      <c r="G65" s="201"/>
      <c r="H65" s="201"/>
      <c r="K65" s="206"/>
      <c r="L65" s="206"/>
      <c r="M65" s="206"/>
      <c r="N65" s="206"/>
      <c r="O65" s="206"/>
      <c r="P65" s="206"/>
      <c r="Q65" s="206"/>
      <c r="R65" s="206"/>
      <c r="S65" s="206"/>
      <c r="T65" s="206"/>
      <c r="U65" s="206"/>
      <c r="V65" s="206"/>
      <c r="W65" s="206"/>
      <c r="X65" s="206"/>
      <c r="Y65" s="206"/>
      <c r="Z65" s="209"/>
      <c r="AA65" s="207"/>
      <c r="AB65" s="207"/>
      <c r="AC65" s="207"/>
      <c r="AD65" s="207"/>
      <c r="AE65" s="207"/>
      <c r="AF65" s="207"/>
      <c r="AG65" s="207"/>
      <c r="AH65" s="207"/>
      <c r="AI65" s="207"/>
      <c r="AJ65" s="207"/>
      <c r="AK65" s="207"/>
      <c r="AL65" s="207"/>
      <c r="AM65" s="207"/>
      <c r="AN65" s="207"/>
      <c r="AO65" s="303"/>
      <c r="AP65" s="303"/>
      <c r="AQ65" s="303"/>
      <c r="AR65" s="303"/>
      <c r="AS65" s="303"/>
      <c r="AT65" s="303"/>
      <c r="AU65" s="303"/>
      <c r="AV65" s="303"/>
      <c r="AW65" s="303"/>
      <c r="AX65" s="303"/>
      <c r="AY65" s="303"/>
      <c r="AZ65" s="303"/>
      <c r="BA65" s="207"/>
      <c r="BB65" s="207"/>
      <c r="BC65" s="207"/>
      <c r="BD65" s="207"/>
      <c r="BE65" s="207"/>
      <c r="BF65" s="207"/>
      <c r="BG65" s="207"/>
      <c r="BH65" s="207"/>
      <c r="BI65" s="207"/>
      <c r="BJ65" s="207"/>
      <c r="BK65" s="207"/>
      <c r="BL65" s="207"/>
      <c r="BM65" s="207"/>
      <c r="BN65" s="207"/>
      <c r="BO65" s="207"/>
      <c r="BP65" s="207"/>
      <c r="BQ65" s="207"/>
      <c r="BR65" s="207"/>
      <c r="BS65" s="207"/>
      <c r="BT65" s="207"/>
      <c r="BU65" s="207"/>
      <c r="BV65" s="207"/>
      <c r="BW65" s="207"/>
      <c r="BX65" s="207"/>
      <c r="BY65" s="207"/>
      <c r="BZ65" s="207"/>
      <c r="CA65" s="207"/>
      <c r="CB65" s="207"/>
      <c r="CC65" s="207"/>
      <c r="CD65" s="207"/>
      <c r="CE65" s="304"/>
      <c r="CF65" s="304"/>
      <c r="CG65" s="304"/>
      <c r="CH65" s="304"/>
      <c r="CI65" s="304"/>
      <c r="CJ65" s="304"/>
      <c r="CK65" s="304"/>
      <c r="CL65" s="304"/>
      <c r="CM65" s="304"/>
      <c r="CN65" s="304"/>
      <c r="CO65" s="304"/>
      <c r="CP65" s="304"/>
      <c r="CQ65" s="304"/>
      <c r="CR65" s="304"/>
      <c r="CS65" s="305"/>
      <c r="CV65" s="267"/>
      <c r="CW65" s="267"/>
      <c r="CX65" s="267"/>
      <c r="CY65" s="267"/>
      <c r="CZ65" s="267"/>
      <c r="DA65" s="267"/>
      <c r="DB65" s="267"/>
      <c r="DC65" s="267"/>
      <c r="DD65" s="267"/>
      <c r="DE65" s="267"/>
      <c r="DF65" s="267"/>
      <c r="DG65" s="267"/>
      <c r="DH65" s="267"/>
      <c r="DI65" s="267"/>
      <c r="DJ65" s="267"/>
      <c r="DK65" s="267"/>
      <c r="DL65" s="267"/>
      <c r="DM65" s="267"/>
      <c r="DN65" s="267"/>
      <c r="DO65" s="267"/>
      <c r="DP65" s="267"/>
      <c r="DQ65" s="267"/>
      <c r="DR65" s="270"/>
      <c r="DS65" s="270"/>
      <c r="DT65" s="270"/>
      <c r="DU65" s="270"/>
      <c r="DW65" s="278"/>
      <c r="DX65" s="278"/>
      <c r="DY65" s="281"/>
      <c r="DZ65" s="281"/>
      <c r="EB65" s="278"/>
      <c r="EC65" s="278"/>
      <c r="ED65" s="281"/>
      <c r="EE65" s="281"/>
      <c r="FH65" s="277"/>
    </row>
    <row r="66" spans="1:164">
      <c r="A66" s="205"/>
      <c r="B66" s="205"/>
      <c r="C66" s="201"/>
      <c r="D66" s="201"/>
      <c r="E66" s="201"/>
      <c r="F66" s="201"/>
      <c r="G66" s="201"/>
      <c r="H66" s="201"/>
      <c r="I66" s="56"/>
      <c r="J66" s="56"/>
      <c r="K66" s="206"/>
      <c r="L66" s="206"/>
      <c r="M66" s="206"/>
      <c r="N66" s="206"/>
      <c r="O66" s="206"/>
      <c r="P66" s="206"/>
      <c r="Q66" s="206"/>
      <c r="R66" s="206"/>
      <c r="S66" s="206"/>
      <c r="T66" s="206"/>
      <c r="U66" s="206"/>
      <c r="V66" s="206"/>
      <c r="W66" s="206"/>
      <c r="X66" s="206"/>
      <c r="Y66" s="206"/>
      <c r="Z66" s="209"/>
      <c r="AA66" s="207"/>
      <c r="AB66" s="207"/>
      <c r="AC66" s="207"/>
      <c r="AD66" s="207"/>
      <c r="AE66" s="207"/>
      <c r="AF66" s="207"/>
      <c r="AG66" s="207"/>
      <c r="AH66" s="207"/>
      <c r="AI66" s="207"/>
      <c r="AJ66" s="207"/>
      <c r="AK66" s="207"/>
      <c r="AL66" s="207"/>
      <c r="AM66" s="207"/>
      <c r="AN66" s="207"/>
      <c r="AO66" s="303"/>
      <c r="AP66" s="303"/>
      <c r="AQ66" s="303"/>
      <c r="AR66" s="303"/>
      <c r="AS66" s="303"/>
      <c r="AT66" s="303"/>
      <c r="AU66" s="303"/>
      <c r="AV66" s="303"/>
      <c r="AW66" s="303"/>
      <c r="AX66" s="303"/>
      <c r="AY66" s="303"/>
      <c r="AZ66" s="303"/>
      <c r="BA66" s="207"/>
      <c r="BB66" s="207"/>
      <c r="BC66" s="207"/>
      <c r="BD66" s="207"/>
      <c r="BE66" s="207"/>
      <c r="BF66" s="207"/>
      <c r="BG66" s="207"/>
      <c r="BH66" s="207"/>
      <c r="BI66" s="207"/>
      <c r="BJ66" s="207"/>
      <c r="BK66" s="207"/>
      <c r="BL66" s="207"/>
      <c r="BM66" s="207"/>
      <c r="BN66" s="207"/>
      <c r="BO66" s="207"/>
      <c r="BP66" s="207"/>
      <c r="BQ66" s="207"/>
      <c r="BR66" s="207"/>
      <c r="BS66" s="207"/>
      <c r="BT66" s="207"/>
      <c r="BU66" s="207"/>
      <c r="BV66" s="207"/>
      <c r="BW66" s="207"/>
      <c r="BX66" s="207"/>
      <c r="BY66" s="207"/>
      <c r="BZ66" s="207"/>
      <c r="CA66" s="207"/>
      <c r="CB66" s="207"/>
      <c r="CC66" s="207"/>
      <c r="CD66" s="207"/>
      <c r="CE66" s="304"/>
      <c r="CF66" s="304"/>
      <c r="CG66" s="304"/>
      <c r="CH66" s="304"/>
      <c r="CI66" s="304"/>
      <c r="CJ66" s="304"/>
      <c r="CK66" s="304"/>
      <c r="CL66" s="304"/>
      <c r="CM66" s="304"/>
      <c r="CN66" s="304"/>
      <c r="CO66" s="304"/>
      <c r="CP66" s="304"/>
      <c r="CQ66" s="304"/>
      <c r="CR66" s="304"/>
      <c r="CS66" s="305"/>
      <c r="CV66" s="267"/>
      <c r="CW66" s="267"/>
      <c r="CX66" s="267"/>
      <c r="CY66" s="267"/>
      <c r="CZ66" s="267"/>
      <c r="DA66" s="267"/>
      <c r="DB66" s="267"/>
      <c r="DC66" s="267"/>
      <c r="DD66" s="267"/>
      <c r="DE66" s="267"/>
      <c r="DF66" s="267"/>
      <c r="DG66" s="267"/>
      <c r="DH66" s="267"/>
      <c r="DI66" s="267"/>
      <c r="DJ66" s="267"/>
      <c r="DK66" s="267"/>
      <c r="DL66" s="267"/>
      <c r="DM66" s="267"/>
      <c r="DN66" s="267"/>
      <c r="DO66" s="267"/>
      <c r="DP66" s="267"/>
      <c r="DQ66" s="267"/>
      <c r="DR66" s="270"/>
      <c r="DS66" s="270"/>
      <c r="DT66" s="270"/>
      <c r="DU66" s="270"/>
      <c r="DW66" s="278"/>
      <c r="DX66" s="278"/>
      <c r="DY66" s="281"/>
      <c r="DZ66" s="281"/>
      <c r="EB66" s="278"/>
      <c r="EC66" s="278"/>
      <c r="ED66" s="281"/>
      <c r="EE66" s="281"/>
      <c r="FH66" s="277"/>
    </row>
    <row r="67" spans="1:164">
      <c r="H67">
        <f>SUM(H60:H66)</f>
        <v>5864.6909450379926</v>
      </c>
      <c r="I67" t="b">
        <f>H67=L7*(1+KTDB_발생량도착량_증가율!C8*5)</f>
        <v>0</v>
      </c>
      <c r="DX67" s="278" t="s">
        <v>26</v>
      </c>
      <c r="DY67" s="281">
        <f>SUM(DY60:DY66)</f>
        <v>2152.5586091493087</v>
      </c>
      <c r="DZ67" s="281">
        <f>SUM(DZ60:DZ66)</f>
        <v>5.6833927532671051</v>
      </c>
      <c r="EC67" s="278" t="s">
        <v>26</v>
      </c>
      <c r="ED67" s="281">
        <f>DY67</f>
        <v>2152.5586091493087</v>
      </c>
      <c r="EE67" s="281">
        <f>DZ67</f>
        <v>5.6833927532671051</v>
      </c>
    </row>
  </sheetData>
  <mergeCells count="34">
    <mergeCell ref="B4:C4"/>
    <mergeCell ref="D4:E4"/>
    <mergeCell ref="H4:I4"/>
    <mergeCell ref="J4:K4"/>
    <mergeCell ref="L4:M4"/>
    <mergeCell ref="F4:G4"/>
    <mergeCell ref="DR15:DU15"/>
    <mergeCell ref="M15:Z15"/>
    <mergeCell ref="AA15:AN15"/>
    <mergeCell ref="AO15:BB15"/>
    <mergeCell ref="BC15:BP15"/>
    <mergeCell ref="BQ15:CD15"/>
    <mergeCell ref="CE15:CR15"/>
    <mergeCell ref="ED58:EE58"/>
    <mergeCell ref="DY15:DZ15"/>
    <mergeCell ref="ED15:EE15"/>
    <mergeCell ref="M58:Z58"/>
    <mergeCell ref="AA58:AN58"/>
    <mergeCell ref="AO58:BB58"/>
    <mergeCell ref="BC58:BP58"/>
    <mergeCell ref="BQ58:CD58"/>
    <mergeCell ref="CE58:CR58"/>
    <mergeCell ref="CX58:DA58"/>
    <mergeCell ref="DB58:DE58"/>
    <mergeCell ref="CX15:DA15"/>
    <mergeCell ref="DB15:DE15"/>
    <mergeCell ref="DF15:DI15"/>
    <mergeCell ref="DJ15:DM15"/>
    <mergeCell ref="DN15:DQ15"/>
    <mergeCell ref="DF58:DI58"/>
    <mergeCell ref="DJ58:DM58"/>
    <mergeCell ref="DN58:DQ58"/>
    <mergeCell ref="DR58:DU58"/>
    <mergeCell ref="DY58:DZ58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H87"/>
  <sheetViews>
    <sheetView topLeftCell="A44" zoomScale="70" zoomScaleNormal="70" workbookViewId="0">
      <selection activeCell="B79" sqref="B79"/>
    </sheetView>
  </sheetViews>
  <sheetFormatPr defaultRowHeight="17"/>
  <cols>
    <col min="1" max="1" width="33.08203125" customWidth="1"/>
    <col min="2" max="14" width="8.83203125" customWidth="1"/>
    <col min="26" max="26" width="10.6640625" bestFit="1" customWidth="1"/>
    <col min="27" max="27" width="10.08203125" bestFit="1" customWidth="1"/>
  </cols>
  <sheetData>
    <row r="1" spans="1:33">
      <c r="A1" s="32" t="s">
        <v>234</v>
      </c>
      <c r="B1" t="s">
        <v>400</v>
      </c>
      <c r="V1" s="32" t="s">
        <v>242</v>
      </c>
      <c r="W1" t="s">
        <v>241</v>
      </c>
    </row>
    <row r="2" spans="1:33">
      <c r="B2" t="s">
        <v>153</v>
      </c>
      <c r="C2" t="s">
        <v>399</v>
      </c>
      <c r="W2" t="s">
        <v>239</v>
      </c>
    </row>
    <row r="3" spans="1:33">
      <c r="B3" t="s">
        <v>401</v>
      </c>
      <c r="W3" t="s">
        <v>238</v>
      </c>
    </row>
    <row r="5" spans="1:33" ht="51.5" thickBot="1">
      <c r="A5" s="163" t="s">
        <v>696</v>
      </c>
      <c r="B5" t="s">
        <v>697</v>
      </c>
    </row>
    <row r="6" spans="1:33" ht="24" thickTop="1" thickBot="1">
      <c r="A6" s="448" t="s">
        <v>699</v>
      </c>
      <c r="B6" s="449"/>
      <c r="C6" s="457" t="s">
        <v>686</v>
      </c>
      <c r="D6" s="452" t="s">
        <v>687</v>
      </c>
      <c r="E6" s="453"/>
      <c r="F6" s="454"/>
      <c r="H6" s="351"/>
      <c r="K6" t="s">
        <v>698</v>
      </c>
      <c r="M6" t="s">
        <v>724</v>
      </c>
      <c r="N6" t="s">
        <v>725</v>
      </c>
      <c r="T6" t="s">
        <v>422</v>
      </c>
      <c r="AB6" s="459" t="s">
        <v>160</v>
      </c>
      <c r="AC6" s="460"/>
      <c r="AD6" s="345" t="s">
        <v>22</v>
      </c>
      <c r="AE6" s="346">
        <v>2814</v>
      </c>
      <c r="AF6" s="346">
        <v>15530</v>
      </c>
      <c r="AG6" s="347">
        <v>18344</v>
      </c>
    </row>
    <row r="7" spans="1:33" ht="18" thickTop="1" thickBot="1">
      <c r="A7" s="450"/>
      <c r="B7" s="451"/>
      <c r="C7" s="458"/>
      <c r="D7" s="336" t="s">
        <v>9</v>
      </c>
      <c r="E7" s="336" t="s">
        <v>10</v>
      </c>
      <c r="F7" s="337" t="s">
        <v>11</v>
      </c>
      <c r="N7" t="s">
        <v>9</v>
      </c>
      <c r="O7" t="s">
        <v>10</v>
      </c>
      <c r="P7" t="s">
        <v>11</v>
      </c>
      <c r="T7" s="472" t="s">
        <v>175</v>
      </c>
      <c r="U7" s="473"/>
      <c r="V7" s="474"/>
      <c r="W7" s="173" t="s">
        <v>156</v>
      </c>
      <c r="X7" s="174" t="s">
        <v>157</v>
      </c>
      <c r="Y7" t="s">
        <v>258</v>
      </c>
      <c r="Z7" t="s">
        <v>424</v>
      </c>
      <c r="AB7" s="448" t="s">
        <v>705</v>
      </c>
      <c r="AC7" s="449"/>
      <c r="AD7" s="335" t="s">
        <v>691</v>
      </c>
      <c r="AE7" s="452" t="s">
        <v>687</v>
      </c>
      <c r="AF7" s="453"/>
      <c r="AG7" s="454"/>
    </row>
    <row r="8" spans="1:33" ht="30" thickTop="1" thickBot="1">
      <c r="A8" s="331" t="s">
        <v>701</v>
      </c>
      <c r="B8" s="177" t="s">
        <v>688</v>
      </c>
      <c r="C8" s="338">
        <v>19865.32</v>
      </c>
      <c r="D8" s="339">
        <f>N8/2</f>
        <v>431</v>
      </c>
      <c r="E8" s="339">
        <f t="shared" ref="E8:E10" si="0">O8/2</f>
        <v>453</v>
      </c>
      <c r="F8" s="340">
        <f t="shared" ref="F8:F10" si="1">P8/2</f>
        <v>884</v>
      </c>
      <c r="K8" t="s">
        <v>700</v>
      </c>
      <c r="L8" t="s">
        <v>706</v>
      </c>
      <c r="M8">
        <v>19865.32</v>
      </c>
      <c r="N8">
        <v>862</v>
      </c>
      <c r="O8">
        <v>906</v>
      </c>
      <c r="P8">
        <v>1768</v>
      </c>
      <c r="T8" s="475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  <c r="AB8" s="450"/>
      <c r="AC8" s="451"/>
      <c r="AD8" s="349" t="s">
        <v>690</v>
      </c>
      <c r="AE8" s="336" t="s">
        <v>9</v>
      </c>
      <c r="AF8" s="336" t="s">
        <v>10</v>
      </c>
      <c r="AG8" s="337" t="s">
        <v>11</v>
      </c>
    </row>
    <row r="9" spans="1:33" ht="17.5" thickTop="1">
      <c r="A9" s="330" t="s">
        <v>700</v>
      </c>
      <c r="B9" s="180" t="s">
        <v>14</v>
      </c>
      <c r="C9" s="341">
        <v>26730.62</v>
      </c>
      <c r="D9" s="342">
        <f t="shared" ref="D9:D10" si="2">N9/2</f>
        <v>819</v>
      </c>
      <c r="E9" s="342">
        <f t="shared" si="0"/>
        <v>5665</v>
      </c>
      <c r="F9" s="343">
        <f t="shared" si="1"/>
        <v>6484</v>
      </c>
      <c r="K9" t="s">
        <v>700</v>
      </c>
      <c r="L9" t="s">
        <v>14</v>
      </c>
      <c r="M9">
        <v>26730.62</v>
      </c>
      <c r="N9">
        <v>1638</v>
      </c>
      <c r="O9">
        <v>11330</v>
      </c>
      <c r="P9">
        <v>12968</v>
      </c>
      <c r="T9" s="466"/>
      <c r="U9" s="176" t="s">
        <v>415</v>
      </c>
      <c r="V9" s="180" t="s">
        <v>10</v>
      </c>
      <c r="W9" s="167">
        <v>2.25</v>
      </c>
      <c r="X9" s="168">
        <v>2.09</v>
      </c>
    </row>
    <row r="10" spans="1:33" ht="29.5" thickBot="1">
      <c r="A10" s="14" t="s">
        <v>700</v>
      </c>
      <c r="B10" s="180" t="s">
        <v>689</v>
      </c>
      <c r="C10" s="341">
        <v>26730.62</v>
      </c>
      <c r="D10" s="344">
        <f t="shared" si="2"/>
        <v>157</v>
      </c>
      <c r="E10" s="342">
        <f t="shared" si="0"/>
        <v>1647</v>
      </c>
      <c r="F10" s="343">
        <f t="shared" si="1"/>
        <v>1804</v>
      </c>
      <c r="K10" t="s">
        <v>700</v>
      </c>
      <c r="L10" t="s">
        <v>707</v>
      </c>
      <c r="M10">
        <v>26730.62</v>
      </c>
      <c r="N10">
        <v>314</v>
      </c>
      <c r="O10">
        <v>3294</v>
      </c>
      <c r="P10">
        <v>3608</v>
      </c>
      <c r="T10" s="466"/>
      <c r="U10" s="313" t="s">
        <v>168</v>
      </c>
      <c r="V10" s="468" t="s">
        <v>10</v>
      </c>
      <c r="W10" s="470">
        <v>1.55</v>
      </c>
      <c r="X10" s="461">
        <v>1</v>
      </c>
    </row>
    <row r="11" spans="1:33" ht="29.5" thickTop="1">
      <c r="A11" s="331" t="s">
        <v>703</v>
      </c>
      <c r="B11" s="177" t="s">
        <v>692</v>
      </c>
      <c r="C11" s="338">
        <v>12296.01</v>
      </c>
      <c r="D11" s="339">
        <f t="shared" ref="D11:F14" si="3">N14/2</f>
        <v>0</v>
      </c>
      <c r="E11" s="339">
        <f t="shared" si="3"/>
        <v>224</v>
      </c>
      <c r="F11" s="179">
        <f t="shared" si="3"/>
        <v>224</v>
      </c>
      <c r="K11" t="s">
        <v>160</v>
      </c>
      <c r="M11" t="s">
        <v>22</v>
      </c>
      <c r="N11">
        <v>2814</v>
      </c>
      <c r="O11">
        <v>15530</v>
      </c>
      <c r="P11">
        <v>18344</v>
      </c>
      <c r="T11" s="466"/>
      <c r="U11" s="176" t="s">
        <v>416</v>
      </c>
      <c r="V11" s="469"/>
      <c r="W11" s="471"/>
      <c r="X11" s="462"/>
    </row>
    <row r="12" spans="1:33" ht="17.5" customHeight="1">
      <c r="A12" s="330" t="s">
        <v>702</v>
      </c>
      <c r="B12" s="180" t="s">
        <v>693</v>
      </c>
      <c r="C12" s="341">
        <v>14081.18</v>
      </c>
      <c r="D12" s="344">
        <f t="shared" si="3"/>
        <v>431</v>
      </c>
      <c r="E12" s="342">
        <f t="shared" si="3"/>
        <v>2984</v>
      </c>
      <c r="F12" s="343">
        <f t="shared" si="3"/>
        <v>3415</v>
      </c>
      <c r="K12" t="s">
        <v>704</v>
      </c>
      <c r="M12" t="s">
        <v>726</v>
      </c>
      <c r="N12" t="s">
        <v>725</v>
      </c>
      <c r="T12" s="466"/>
      <c r="U12" s="313" t="s">
        <v>168</v>
      </c>
      <c r="V12" s="180" t="s">
        <v>9</v>
      </c>
      <c r="W12" s="167">
        <v>1.1599999999999999</v>
      </c>
      <c r="X12" s="168">
        <v>1</v>
      </c>
    </row>
    <row r="13" spans="1:33" ht="29">
      <c r="A13" s="348" t="s">
        <v>702</v>
      </c>
      <c r="B13" s="180" t="s">
        <v>689</v>
      </c>
      <c r="C13" s="341">
        <v>8497</v>
      </c>
      <c r="D13" s="344">
        <f t="shared" si="3"/>
        <v>50</v>
      </c>
      <c r="E13" s="342">
        <f t="shared" si="3"/>
        <v>524</v>
      </c>
      <c r="F13" s="343">
        <f t="shared" si="3"/>
        <v>574</v>
      </c>
      <c r="M13" t="s">
        <v>727</v>
      </c>
      <c r="N13" t="s">
        <v>9</v>
      </c>
      <c r="O13" t="s">
        <v>10</v>
      </c>
      <c r="P13" t="s">
        <v>11</v>
      </c>
      <c r="T13" s="466"/>
      <c r="U13" s="176" t="s">
        <v>417</v>
      </c>
      <c r="V13" s="180" t="s">
        <v>10</v>
      </c>
      <c r="W13" s="167">
        <v>1.57</v>
      </c>
      <c r="X13" s="168">
        <v>1.43</v>
      </c>
    </row>
    <row r="14" spans="1:33" ht="41">
      <c r="A14" s="348" t="s">
        <v>702</v>
      </c>
      <c r="B14" s="180" t="s">
        <v>694</v>
      </c>
      <c r="C14" s="350">
        <v>15000</v>
      </c>
      <c r="D14" s="344">
        <f t="shared" si="3"/>
        <v>300</v>
      </c>
      <c r="E14" s="342">
        <f t="shared" si="3"/>
        <v>8400</v>
      </c>
      <c r="F14" s="343">
        <f t="shared" si="3"/>
        <v>8700</v>
      </c>
      <c r="K14" t="s">
        <v>702</v>
      </c>
      <c r="L14" t="s">
        <v>708</v>
      </c>
      <c r="M14">
        <v>12296.01</v>
      </c>
      <c r="N14">
        <v>0</v>
      </c>
      <c r="O14">
        <v>448</v>
      </c>
      <c r="P14">
        <v>448</v>
      </c>
      <c r="T14" s="466"/>
      <c r="U14" s="463" t="s">
        <v>14</v>
      </c>
      <c r="V14" s="180" t="s">
        <v>9</v>
      </c>
      <c r="W14" s="167">
        <v>1.42</v>
      </c>
      <c r="X14" s="168">
        <v>1.41</v>
      </c>
    </row>
    <row r="15" spans="1:33">
      <c r="A15" s="14" t="s">
        <v>702</v>
      </c>
      <c r="K15" t="s">
        <v>702</v>
      </c>
      <c r="L15" t="s">
        <v>693</v>
      </c>
      <c r="M15">
        <v>14081.18</v>
      </c>
      <c r="N15">
        <v>862</v>
      </c>
      <c r="O15">
        <v>5968</v>
      </c>
      <c r="P15">
        <v>6830</v>
      </c>
      <c r="T15" s="466"/>
      <c r="U15" s="464"/>
      <c r="V15" s="180" t="s">
        <v>10</v>
      </c>
      <c r="W15" s="167">
        <v>1.82</v>
      </c>
      <c r="X15" s="168">
        <v>1.82</v>
      </c>
    </row>
    <row r="16" spans="1:33" ht="17.5" thickBot="1">
      <c r="A16" s="455" t="s">
        <v>695</v>
      </c>
      <c r="B16" s="456"/>
      <c r="C16" s="345" t="s">
        <v>22</v>
      </c>
      <c r="D16" s="346">
        <v>1562</v>
      </c>
      <c r="E16" s="346">
        <v>24264</v>
      </c>
      <c r="F16" s="347">
        <v>25826</v>
      </c>
      <c r="K16" t="s">
        <v>702</v>
      </c>
      <c r="L16" t="s">
        <v>707</v>
      </c>
      <c r="M16">
        <v>8497</v>
      </c>
      <c r="N16">
        <v>100</v>
      </c>
      <c r="O16">
        <v>1048</v>
      </c>
      <c r="P16">
        <v>1148</v>
      </c>
      <c r="T16" s="466"/>
      <c r="U16" s="313" t="s">
        <v>418</v>
      </c>
      <c r="V16" s="180" t="s">
        <v>9</v>
      </c>
      <c r="W16" s="167">
        <v>3.1</v>
      </c>
      <c r="X16" s="168">
        <v>2.31</v>
      </c>
    </row>
    <row r="17" spans="1:139" ht="17.5" thickTop="1">
      <c r="K17" t="s">
        <v>702</v>
      </c>
      <c r="L17" t="s">
        <v>709</v>
      </c>
      <c r="M17">
        <v>15000</v>
      </c>
      <c r="N17">
        <v>600</v>
      </c>
      <c r="O17">
        <v>16800</v>
      </c>
      <c r="P17">
        <v>17400</v>
      </c>
      <c r="T17" s="476"/>
      <c r="U17" s="176" t="s">
        <v>419</v>
      </c>
      <c r="V17" s="180" t="s">
        <v>10</v>
      </c>
      <c r="W17" s="167">
        <v>3.1</v>
      </c>
      <c r="X17" s="168">
        <v>2.31</v>
      </c>
    </row>
    <row r="18" spans="1:139" ht="24">
      <c r="T18" s="465" t="s">
        <v>420</v>
      </c>
      <c r="U18" s="313" t="s">
        <v>414</v>
      </c>
      <c r="V18" s="180" t="s">
        <v>9</v>
      </c>
      <c r="W18" s="167">
        <v>2.25</v>
      </c>
      <c r="X18" s="168">
        <v>2.09</v>
      </c>
    </row>
    <row r="19" spans="1:139">
      <c r="T19" s="466"/>
      <c r="U19" s="176" t="s">
        <v>415</v>
      </c>
      <c r="V19" s="180" t="s">
        <v>10</v>
      </c>
      <c r="W19" s="167">
        <v>2.25</v>
      </c>
      <c r="X19" s="168">
        <v>2.09</v>
      </c>
    </row>
    <row r="20" spans="1:139">
      <c r="T20" s="466"/>
      <c r="U20" s="313" t="s">
        <v>168</v>
      </c>
      <c r="V20" s="468" t="s">
        <v>10</v>
      </c>
      <c r="W20" s="470">
        <v>1.55</v>
      </c>
      <c r="X20" s="461">
        <v>1</v>
      </c>
    </row>
    <row r="21" spans="1:139">
      <c r="T21" s="466"/>
      <c r="U21" s="176" t="s">
        <v>416</v>
      </c>
      <c r="V21" s="469"/>
      <c r="W21" s="471"/>
      <c r="X21" s="462"/>
    </row>
    <row r="22" spans="1:139">
      <c r="T22" s="466"/>
      <c r="U22" s="313" t="s">
        <v>168</v>
      </c>
      <c r="V22" s="180" t="s">
        <v>9</v>
      </c>
      <c r="W22" s="167">
        <v>1.2</v>
      </c>
      <c r="X22" s="168">
        <v>1.25</v>
      </c>
    </row>
    <row r="23" spans="1:139" ht="29">
      <c r="T23" s="466"/>
      <c r="U23" s="176" t="s">
        <v>417</v>
      </c>
      <c r="V23" s="180" t="s">
        <v>10</v>
      </c>
      <c r="W23" s="167">
        <v>1.64</v>
      </c>
      <c r="X23" s="168">
        <v>1.67</v>
      </c>
    </row>
    <row r="24" spans="1:139">
      <c r="T24" s="466"/>
      <c r="U24" s="463" t="s">
        <v>14</v>
      </c>
      <c r="V24" s="180" t="s">
        <v>9</v>
      </c>
      <c r="W24" s="167">
        <v>1.43</v>
      </c>
      <c r="X24" s="168">
        <v>1.41</v>
      </c>
    </row>
    <row r="25" spans="1:139">
      <c r="T25" s="466"/>
      <c r="U25" s="464"/>
      <c r="V25" s="180" t="s">
        <v>10</v>
      </c>
      <c r="W25" s="167">
        <v>1.96</v>
      </c>
      <c r="X25" s="168">
        <v>1.91</v>
      </c>
    </row>
    <row r="26" spans="1:139">
      <c r="T26" s="466"/>
      <c r="U26" s="313" t="s">
        <v>418</v>
      </c>
      <c r="V26" s="180" t="s">
        <v>9</v>
      </c>
      <c r="W26" s="167">
        <v>3.5</v>
      </c>
      <c r="X26" s="168">
        <v>2.02</v>
      </c>
    </row>
    <row r="27" spans="1:139" ht="17.5" thickBot="1">
      <c r="T27" s="467"/>
      <c r="U27" s="182" t="s">
        <v>419</v>
      </c>
      <c r="V27" s="183" t="s">
        <v>10</v>
      </c>
      <c r="W27" s="184">
        <v>3.5</v>
      </c>
      <c r="X27" s="185">
        <v>2.02</v>
      </c>
      <c r="EI27" s="32" t="s">
        <v>863</v>
      </c>
    </row>
    <row r="28" spans="1:139" ht="17.5" thickTop="1">
      <c r="K28" s="403"/>
      <c r="L28" s="32" t="s">
        <v>851</v>
      </c>
      <c r="EH28" s="279"/>
      <c r="EI28" s="279" t="s">
        <v>601</v>
      </c>
    </row>
    <row r="29" spans="1:139">
      <c r="EH29" s="279" t="s">
        <v>602</v>
      </c>
      <c r="EI29" s="293">
        <v>1</v>
      </c>
    </row>
    <row r="32" spans="1:139" s="227" customFormat="1" ht="19.5">
      <c r="A32" s="329">
        <v>2025</v>
      </c>
      <c r="B32" s="282"/>
      <c r="C32" s="283"/>
      <c r="D32" s="284"/>
      <c r="E32" s="284"/>
      <c r="F32" s="284"/>
      <c r="G32" s="284"/>
      <c r="H32" s="284"/>
      <c r="I32" s="284"/>
      <c r="K32" s="282"/>
      <c r="L32" s="282"/>
      <c r="M32" s="283"/>
      <c r="N32" s="284"/>
      <c r="O32" s="284"/>
      <c r="P32" s="284"/>
      <c r="Q32" s="284"/>
      <c r="R32" s="284"/>
      <c r="S32" s="284"/>
    </row>
    <row r="33" spans="1:157" ht="23.5" thickBot="1">
      <c r="A33" s="32" t="s">
        <v>468</v>
      </c>
      <c r="C33" t="s">
        <v>463</v>
      </c>
      <c r="D33" t="s">
        <v>467</v>
      </c>
      <c r="E33" t="s">
        <v>470</v>
      </c>
      <c r="F33" t="s">
        <v>465</v>
      </c>
      <c r="G33" t="s">
        <v>466</v>
      </c>
      <c r="H33" t="s">
        <v>21</v>
      </c>
      <c r="K33" s="32" t="s">
        <v>471</v>
      </c>
      <c r="CV33" s="32" t="s">
        <v>492</v>
      </c>
      <c r="CY33" t="s">
        <v>478</v>
      </c>
      <c r="CZ33" t="s">
        <v>479</v>
      </c>
      <c r="EL33" s="353" t="s">
        <v>854</v>
      </c>
      <c r="EU33" s="353" t="s">
        <v>745</v>
      </c>
    </row>
    <row r="34" spans="1:157">
      <c r="A34" t="s">
        <v>462</v>
      </c>
      <c r="C34" t="s">
        <v>427</v>
      </c>
      <c r="D34" t="s">
        <v>428</v>
      </c>
      <c r="E34" t="s">
        <v>429</v>
      </c>
      <c r="F34" t="s">
        <v>430</v>
      </c>
      <c r="G34" t="s">
        <v>431</v>
      </c>
      <c r="H34" t="s">
        <v>457</v>
      </c>
      <c r="K34" s="159" t="s">
        <v>482</v>
      </c>
      <c r="L34" s="159"/>
      <c r="M34" s="443" t="s">
        <v>463</v>
      </c>
      <c r="N34" s="444"/>
      <c r="O34" s="444"/>
      <c r="P34" s="444"/>
      <c r="Q34" s="444"/>
      <c r="R34" s="444"/>
      <c r="S34" s="444"/>
      <c r="T34" s="444"/>
      <c r="U34" s="444"/>
      <c r="V34" s="444"/>
      <c r="W34" s="444"/>
      <c r="X34" s="444"/>
      <c r="Y34" s="444"/>
      <c r="Z34" s="445"/>
      <c r="AA34" s="443" t="s">
        <v>467</v>
      </c>
      <c r="AB34" s="444"/>
      <c r="AC34" s="444"/>
      <c r="AD34" s="444"/>
      <c r="AE34" s="444"/>
      <c r="AF34" s="444"/>
      <c r="AG34" s="444"/>
      <c r="AH34" s="444"/>
      <c r="AI34" s="444"/>
      <c r="AJ34" s="444"/>
      <c r="AK34" s="444"/>
      <c r="AL34" s="444"/>
      <c r="AM34" s="444"/>
      <c r="AN34" s="445"/>
      <c r="AO34" s="443" t="s">
        <v>464</v>
      </c>
      <c r="AP34" s="444"/>
      <c r="AQ34" s="444"/>
      <c r="AR34" s="444"/>
      <c r="AS34" s="444"/>
      <c r="AT34" s="444"/>
      <c r="AU34" s="444"/>
      <c r="AV34" s="444"/>
      <c r="AW34" s="444"/>
      <c r="AX34" s="444"/>
      <c r="AY34" s="444"/>
      <c r="AZ34" s="444"/>
      <c r="BA34" s="444"/>
      <c r="BB34" s="445"/>
      <c r="BC34" s="443" t="s">
        <v>465</v>
      </c>
      <c r="BD34" s="444"/>
      <c r="BE34" s="444"/>
      <c r="BF34" s="444"/>
      <c r="BG34" s="444"/>
      <c r="BH34" s="444"/>
      <c r="BI34" s="444"/>
      <c r="BJ34" s="444"/>
      <c r="BK34" s="444"/>
      <c r="BL34" s="444"/>
      <c r="BM34" s="444"/>
      <c r="BN34" s="444"/>
      <c r="BO34" s="444"/>
      <c r="BP34" s="445"/>
      <c r="BQ34" s="443" t="s">
        <v>466</v>
      </c>
      <c r="BR34" s="444"/>
      <c r="BS34" s="444"/>
      <c r="BT34" s="444"/>
      <c r="BU34" s="444"/>
      <c r="BV34" s="444"/>
      <c r="BW34" s="444"/>
      <c r="BX34" s="444"/>
      <c r="BY34" s="444"/>
      <c r="BZ34" s="444"/>
      <c r="CA34" s="444"/>
      <c r="CB34" s="444"/>
      <c r="CC34" s="444"/>
      <c r="CD34" s="445"/>
      <c r="CE34" s="443" t="s">
        <v>21</v>
      </c>
      <c r="CF34" s="444"/>
      <c r="CG34" s="444"/>
      <c r="CH34" s="444"/>
      <c r="CI34" s="444"/>
      <c r="CJ34" s="444"/>
      <c r="CK34" s="444"/>
      <c r="CL34" s="444"/>
      <c r="CM34" s="444"/>
      <c r="CN34" s="444"/>
      <c r="CO34" s="444"/>
      <c r="CP34" s="444"/>
      <c r="CQ34" s="444"/>
      <c r="CR34" s="445"/>
      <c r="CV34" s="263" t="s">
        <v>482</v>
      </c>
      <c r="CW34" s="263"/>
      <c r="CX34" s="446" t="s">
        <v>554</v>
      </c>
      <c r="CY34" s="439"/>
      <c r="CZ34" s="439"/>
      <c r="DA34" s="440"/>
      <c r="DB34" s="438" t="s">
        <v>553</v>
      </c>
      <c r="DC34" s="439"/>
      <c r="DD34" s="439"/>
      <c r="DE34" s="440"/>
      <c r="DF34" s="438" t="s">
        <v>464</v>
      </c>
      <c r="DG34" s="439"/>
      <c r="DH34" s="439"/>
      <c r="DI34" s="440"/>
      <c r="DJ34" s="438" t="s">
        <v>465</v>
      </c>
      <c r="DK34" s="439"/>
      <c r="DL34" s="439"/>
      <c r="DM34" s="440"/>
      <c r="DN34" s="438" t="s">
        <v>466</v>
      </c>
      <c r="DO34" s="439"/>
      <c r="DP34" s="439"/>
      <c r="DQ34" s="440"/>
      <c r="DR34" s="438" t="s">
        <v>21</v>
      </c>
      <c r="DS34" s="439"/>
      <c r="DT34" s="439"/>
      <c r="DU34" s="441"/>
      <c r="DW34" s="278"/>
      <c r="DX34" s="278"/>
      <c r="DY34" s="442" t="s">
        <v>588</v>
      </c>
      <c r="DZ34" s="442"/>
      <c r="EB34" s="278"/>
      <c r="EC34" s="278"/>
      <c r="ED34" s="442" t="s">
        <v>588</v>
      </c>
      <c r="EE34" s="442"/>
      <c r="EI34" t="s">
        <v>599</v>
      </c>
    </row>
    <row r="35" spans="1:157">
      <c r="A35" s="199"/>
      <c r="B35" s="199"/>
      <c r="C35" s="202" t="s">
        <v>463</v>
      </c>
      <c r="D35" s="202" t="s">
        <v>467</v>
      </c>
      <c r="E35" s="202" t="s">
        <v>464</v>
      </c>
      <c r="F35" s="202" t="s">
        <v>465</v>
      </c>
      <c r="G35" s="202" t="s">
        <v>558</v>
      </c>
      <c r="H35" s="202" t="s">
        <v>21</v>
      </c>
      <c r="K35" s="159"/>
      <c r="L35" s="159"/>
      <c r="M35" s="211" t="s">
        <v>472</v>
      </c>
      <c r="N35" s="160" t="s">
        <v>156</v>
      </c>
      <c r="O35" s="160" t="s">
        <v>475</v>
      </c>
      <c r="P35" s="160" t="s">
        <v>476</v>
      </c>
      <c r="Q35" s="160" t="s">
        <v>477</v>
      </c>
      <c r="R35" s="160" t="s">
        <v>478</v>
      </c>
      <c r="S35" s="160" t="s">
        <v>479</v>
      </c>
      <c r="T35" s="160" t="s">
        <v>480</v>
      </c>
      <c r="U35" s="160" t="s">
        <v>449</v>
      </c>
      <c r="V35" s="160" t="s">
        <v>157</v>
      </c>
      <c r="W35" s="160" t="s">
        <v>473</v>
      </c>
      <c r="X35" s="160" t="s">
        <v>474</v>
      </c>
      <c r="Y35" s="160" t="s">
        <v>46</v>
      </c>
      <c r="Z35" s="212" t="s">
        <v>11</v>
      </c>
      <c r="AA35" s="211" t="s">
        <v>472</v>
      </c>
      <c r="AB35" s="160" t="s">
        <v>156</v>
      </c>
      <c r="AC35" s="160" t="s">
        <v>475</v>
      </c>
      <c r="AD35" s="160" t="s">
        <v>476</v>
      </c>
      <c r="AE35" s="160" t="s">
        <v>477</v>
      </c>
      <c r="AF35" s="160" t="s">
        <v>478</v>
      </c>
      <c r="AG35" s="160" t="s">
        <v>479</v>
      </c>
      <c r="AH35" s="160" t="s">
        <v>480</v>
      </c>
      <c r="AI35" s="160" t="s">
        <v>449</v>
      </c>
      <c r="AJ35" s="160" t="s">
        <v>157</v>
      </c>
      <c r="AK35" s="160" t="s">
        <v>473</v>
      </c>
      <c r="AL35" s="160" t="s">
        <v>474</v>
      </c>
      <c r="AM35" s="160" t="s">
        <v>46</v>
      </c>
      <c r="AN35" s="212" t="s">
        <v>11</v>
      </c>
      <c r="AO35" s="211" t="s">
        <v>472</v>
      </c>
      <c r="AP35" s="160" t="s">
        <v>156</v>
      </c>
      <c r="AQ35" s="160" t="s">
        <v>475</v>
      </c>
      <c r="AR35" s="160" t="s">
        <v>476</v>
      </c>
      <c r="AS35" s="160" t="s">
        <v>477</v>
      </c>
      <c r="AT35" s="160" t="s">
        <v>478</v>
      </c>
      <c r="AU35" s="160" t="s">
        <v>479</v>
      </c>
      <c r="AV35" s="160" t="s">
        <v>480</v>
      </c>
      <c r="AW35" s="160" t="s">
        <v>449</v>
      </c>
      <c r="AX35" s="160" t="s">
        <v>157</v>
      </c>
      <c r="AY35" s="160" t="s">
        <v>473</v>
      </c>
      <c r="AZ35" s="160" t="s">
        <v>474</v>
      </c>
      <c r="BA35" s="160" t="s">
        <v>46</v>
      </c>
      <c r="BB35" s="212" t="s">
        <v>11</v>
      </c>
      <c r="BC35" s="211" t="s">
        <v>472</v>
      </c>
      <c r="BD35" s="160" t="s">
        <v>156</v>
      </c>
      <c r="BE35" s="160" t="s">
        <v>475</v>
      </c>
      <c r="BF35" s="160" t="s">
        <v>476</v>
      </c>
      <c r="BG35" s="160" t="s">
        <v>477</v>
      </c>
      <c r="BH35" s="160" t="s">
        <v>478</v>
      </c>
      <c r="BI35" s="160" t="s">
        <v>479</v>
      </c>
      <c r="BJ35" s="160" t="s">
        <v>480</v>
      </c>
      <c r="BK35" s="160" t="s">
        <v>449</v>
      </c>
      <c r="BL35" s="160" t="s">
        <v>157</v>
      </c>
      <c r="BM35" s="160" t="s">
        <v>473</v>
      </c>
      <c r="BN35" s="160" t="s">
        <v>474</v>
      </c>
      <c r="BO35" s="160" t="s">
        <v>46</v>
      </c>
      <c r="BP35" s="212" t="s">
        <v>11</v>
      </c>
      <c r="BQ35" s="211" t="s">
        <v>472</v>
      </c>
      <c r="BR35" s="160" t="s">
        <v>156</v>
      </c>
      <c r="BS35" s="160" t="s">
        <v>475</v>
      </c>
      <c r="BT35" s="160" t="s">
        <v>476</v>
      </c>
      <c r="BU35" s="160" t="s">
        <v>477</v>
      </c>
      <c r="BV35" s="160" t="s">
        <v>478</v>
      </c>
      <c r="BW35" s="160" t="s">
        <v>479</v>
      </c>
      <c r="BX35" s="160" t="s">
        <v>480</v>
      </c>
      <c r="BY35" s="160" t="s">
        <v>449</v>
      </c>
      <c r="BZ35" s="160" t="s">
        <v>157</v>
      </c>
      <c r="CA35" s="160" t="s">
        <v>473</v>
      </c>
      <c r="CB35" s="160" t="s">
        <v>474</v>
      </c>
      <c r="CC35" s="160" t="s">
        <v>46</v>
      </c>
      <c r="CD35" s="212" t="s">
        <v>11</v>
      </c>
      <c r="CE35" s="211" t="s">
        <v>472</v>
      </c>
      <c r="CF35" s="160" t="s">
        <v>156</v>
      </c>
      <c r="CG35" s="160" t="s">
        <v>475</v>
      </c>
      <c r="CH35" s="160" t="s">
        <v>476</v>
      </c>
      <c r="CI35" s="160" t="s">
        <v>477</v>
      </c>
      <c r="CJ35" s="160" t="s">
        <v>478</v>
      </c>
      <c r="CK35" s="160" t="s">
        <v>479</v>
      </c>
      <c r="CL35" s="160" t="s">
        <v>480</v>
      </c>
      <c r="CM35" s="160" t="s">
        <v>449</v>
      </c>
      <c r="CN35" s="160" t="s">
        <v>157</v>
      </c>
      <c r="CO35" s="160" t="s">
        <v>473</v>
      </c>
      <c r="CP35" s="160" t="s">
        <v>474</v>
      </c>
      <c r="CQ35" s="160" t="s">
        <v>46</v>
      </c>
      <c r="CR35" s="212" t="s">
        <v>11</v>
      </c>
      <c r="CV35" s="263"/>
      <c r="CW35" s="263"/>
      <c r="CX35" s="264" t="s">
        <v>156</v>
      </c>
      <c r="CY35" s="264" t="s">
        <v>478</v>
      </c>
      <c r="CZ35" s="264" t="s">
        <v>479</v>
      </c>
      <c r="DA35" s="264" t="s">
        <v>157</v>
      </c>
      <c r="DB35" s="264" t="s">
        <v>156</v>
      </c>
      <c r="DC35" s="264" t="s">
        <v>478</v>
      </c>
      <c r="DD35" s="264" t="s">
        <v>479</v>
      </c>
      <c r="DE35" s="264" t="s">
        <v>157</v>
      </c>
      <c r="DF35" s="264" t="s">
        <v>156</v>
      </c>
      <c r="DG35" s="264" t="s">
        <v>478</v>
      </c>
      <c r="DH35" s="264" t="s">
        <v>479</v>
      </c>
      <c r="DI35" s="264" t="s">
        <v>157</v>
      </c>
      <c r="DJ35" s="264" t="s">
        <v>156</v>
      </c>
      <c r="DK35" s="264" t="s">
        <v>478</v>
      </c>
      <c r="DL35" s="264" t="s">
        <v>479</v>
      </c>
      <c r="DM35" s="264" t="s">
        <v>157</v>
      </c>
      <c r="DN35" s="264" t="s">
        <v>156</v>
      </c>
      <c r="DO35" s="264" t="s">
        <v>478</v>
      </c>
      <c r="DP35" s="264" t="s">
        <v>479</v>
      </c>
      <c r="DQ35" s="264" t="s">
        <v>157</v>
      </c>
      <c r="DR35" s="264" t="s">
        <v>156</v>
      </c>
      <c r="DS35" s="264" t="s">
        <v>478</v>
      </c>
      <c r="DT35" s="264" t="s">
        <v>479</v>
      </c>
      <c r="DU35" s="264" t="s">
        <v>157</v>
      </c>
      <c r="DW35" s="278"/>
      <c r="DX35" s="278"/>
      <c r="DY35" s="280" t="s">
        <v>585</v>
      </c>
      <c r="DZ35" s="280" t="s">
        <v>259</v>
      </c>
      <c r="EB35" s="278"/>
      <c r="EC35" s="278"/>
      <c r="ED35" s="280" t="s">
        <v>585</v>
      </c>
      <c r="EE35" s="280" t="s">
        <v>259</v>
      </c>
      <c r="EL35" s="420" t="s">
        <v>564</v>
      </c>
      <c r="EM35" s="420" t="s">
        <v>565</v>
      </c>
      <c r="EN35" s="420" t="s">
        <v>566</v>
      </c>
      <c r="EO35" s="420" t="s">
        <v>562</v>
      </c>
      <c r="EP35" s="421" t="s">
        <v>597</v>
      </c>
      <c r="EQ35" s="421" t="s">
        <v>585</v>
      </c>
      <c r="ER35" s="421" t="s">
        <v>259</v>
      </c>
      <c r="ES35" s="424" t="s">
        <v>867</v>
      </c>
      <c r="EU35" s="306" t="s">
        <v>564</v>
      </c>
      <c r="EV35" s="306" t="s">
        <v>565</v>
      </c>
      <c r="EW35" s="306" t="s">
        <v>566</v>
      </c>
      <c r="EX35" s="306" t="s">
        <v>562</v>
      </c>
      <c r="EY35" s="307" t="s">
        <v>597</v>
      </c>
      <c r="EZ35" s="307" t="s">
        <v>585</v>
      </c>
      <c r="FA35" s="307" t="s">
        <v>259</v>
      </c>
    </row>
    <row r="36" spans="1:157" ht="37.5">
      <c r="A36" s="205" t="s">
        <v>700</v>
      </c>
      <c r="B36" s="205" t="s">
        <v>711</v>
      </c>
      <c r="C36" s="400">
        <f>$D8*KTDB_TripDistribution_2045!L$12 * (1+KTDB_발생량도착량_증가율!$C$8) * (1+KTDB_발생량도착량_증가율!$D$7*5) * (1+KTDB_발생량도착량_증가율!$E$7*5) * (1+KTDB_발생량도착량_증가율!$F$7*5) * (1+KTDB_발생량도착량_증가율!$G$7*5)</f>
        <v>44.130730544612121</v>
      </c>
      <c r="D36" s="400">
        <f>$D8*KTDB_TripDistribution_2045!M$12 * (1+KTDB_발생량도착량_증가율!$C$8) * (1+KTDB_발생량도착량_증가율!$D$7*5) * (1+KTDB_발생량도착량_증가율!$E$7*5) * (1+KTDB_발생량도착량_증가율!$F$7*5) * (1+KTDB_발생량도착량_증가율!$G$7*5)</f>
        <v>343.16644572897741</v>
      </c>
      <c r="E36" s="400">
        <f>$D8*KTDB_TripDistribution_2045!N$12 * (1+KTDB_발생량도착량_증가율!$C$8) * (1+KTDB_발생량도착량_증가율!$D$7*5) * (1+KTDB_발생량도착량_증가율!$E$7*5) * (1+KTDB_발생량도착량_증가율!$F$7*5) * (1+KTDB_발생량도착량_증가율!$G$7*5)</f>
        <v>15.210973879101722</v>
      </c>
      <c r="F36" s="400">
        <f>$D8*KTDB_TripDistribution_2045!O$12 * (1+KTDB_발생량도착량_증가율!$C$8) * (1+KTDB_발생량도착량_증가율!$D$7*5) * (1+KTDB_발생량도착량_증가율!$E$7*5) * (1+KTDB_발생량도착량_증가율!$F$7*5) * (1+KTDB_발생량도착량_증가율!$G$7*5)</f>
        <v>4.1250098655191192E-2</v>
      </c>
      <c r="G36" s="400">
        <f>$D8*KTDB_TripDistribution_2045!P$12 * (1+KTDB_발생량도착량_증가율!$C$8) * (1+KTDB_발생량도착량_증가율!$D$7*5) * (1+KTDB_발생량도착량_증가율!$E$7*5) * (1+KTDB_발생량도착량_증가율!$F$7*5) * (1+KTDB_발생량도착량_증가율!$G$7*5)</f>
        <v>0.11687527952304129</v>
      </c>
      <c r="H36" s="400">
        <f>$D8*KTDB_TripDistribution_2045!Q$12 * (1+KTDB_발생량도착량_증가율!$C$8) * (1+KTDB_발생량도착량_증가율!$D$7*5) * (1+KTDB_발생량도착량_증가율!$E$7*5) * (1+KTDB_발생량도착량_증가율!$F$7*5) * (1+KTDB_발생량도착량_증가율!$G$7*5)</f>
        <v>402.66627553086948</v>
      </c>
      <c r="J36" s="230">
        <f t="shared" ref="J36:J40" si="4">CR36</f>
        <v>402.66627553086948</v>
      </c>
      <c r="K36" s="206"/>
      <c r="L36" s="206" t="s">
        <v>710</v>
      </c>
      <c r="M36" s="206">
        <f>INDEX($A$35:$H$42,MATCH($L36,$B$35:$B$42,0),MATCH($M$34,$A$35:$H$35,0))*고양시_Modal_split!C$3 * 0.01</f>
        <v>0.12356604552491392</v>
      </c>
      <c r="N36" s="206">
        <f>INDEX($A$35:$H$42,MATCH($L36,$B$35:$B$42,0),MATCH($M$34,$A$35:$H$35,0))*고양시_Modal_split!D$3 * 0.01</f>
        <v>20.754682575131081</v>
      </c>
      <c r="O36" s="206">
        <f>INDEX($A$35:$H$42,MATCH($L36,$B$35:$B$42,0),MATCH($M$34,$A$35:$H$35,0))*고양시_Modal_split!E$3 * 0.01</f>
        <v>2.5110385679884293</v>
      </c>
      <c r="P36" s="206">
        <f>INDEX($A$35:$H$42,MATCH($L36,$B$35:$B$42,0),MATCH($M$34,$A$35:$H$35,0))*고양시_Modal_split!F$3 * 0.01</f>
        <v>4.0467879909409321</v>
      </c>
      <c r="Q36" s="206">
        <f>INDEX($A$35:$H$42,MATCH($L36,$B$35:$B$42,0),MATCH($M$34,$A$35:$H$35,0))*고양시_Modal_split!G$3 * 0.01</f>
        <v>0.40600272101043144</v>
      </c>
      <c r="R36" s="206">
        <f>INDEX($A$35:$H$42,MATCH($L36,$B$35:$B$42,0),MATCH($M$34,$A$35:$H$35,0))*고양시_Modal_split!H$3 * 0.01</f>
        <v>4.4130730544612124E-3</v>
      </c>
      <c r="S36" s="206">
        <f>INDEX($A$35:$H$42,MATCH($L36,$B$35:$B$42,0),MATCH($M$34,$A$35:$H$35,0))*고양시_Modal_split!I$3 * 0.01</f>
        <v>1.226834309140217</v>
      </c>
      <c r="T36" s="206">
        <f>INDEX($A$35:$H$42,MATCH($L36,$B$35:$B$42,0),MATCH($M$34,$A$35:$H$35,0))*고양시_Modal_split!J$3 * 0.01</f>
        <v>13.43339437777993</v>
      </c>
      <c r="U36" s="206">
        <f>INDEX($A$35:$H$42,MATCH($L36,$B$35:$B$42,0),MATCH($M$34,$A$35:$H$35,0))*고양시_Modal_split!K$3 * 0.01</f>
        <v>6.6196095816918182E-2</v>
      </c>
      <c r="V36" s="206">
        <f>INDEX($A$35:$H$42,MATCH($L36,$B$35:$B$42,0),MATCH($M$34,$A$35:$H$35,0))*고양시_Modal_split!L$3 * 0.01</f>
        <v>1.3327480624472861</v>
      </c>
      <c r="W36" s="206">
        <f>INDEX($A$35:$H$42,MATCH($L36,$B$35:$B$42,0),MATCH($M$34,$A$35:$H$35,0))*고양시_Modal_split!M$3 * 0.01</f>
        <v>0.10150068025260786</v>
      </c>
      <c r="X36" s="206">
        <f>INDEX($A$35:$H$42,MATCH($L36,$B$35:$B$42,0),MATCH($M$34,$A$35:$H$35,0))*고양시_Modal_split!N$3 * 0.01</f>
        <v>4.4130730544612126E-2</v>
      </c>
      <c r="Y36" s="206">
        <f>INDEX($A$35:$H$42,MATCH($L36,$B$35:$B$42,0),MATCH($M$34,$A$35:$H$35,0))*고양시_Modal_split!O$3 * 0.01</f>
        <v>7.9435314980301819E-2</v>
      </c>
      <c r="Z36" s="209">
        <f>INDEX($A$35:$H$42,MATCH($L36,$B$35:$B$42,0),MATCH($M$34,$A$35:$H$35,0))*고양시_Modal_split!P$3 * 0.01</f>
        <v>44.130730544612128</v>
      </c>
      <c r="AA36" s="206">
        <f>INDEX($A$35:$H$42,MATCH($L36,$B$35:$B$42,0),MATCH($AA$34,$A$35:$H$35,0))*고양시_Modal_split!C$3 * 0.01</f>
        <v>0.96086604804113662</v>
      </c>
      <c r="AB36" s="207">
        <f>INDEX($A$35:$H$42,MATCH($L36,$B$35:$B$42,0),MATCH($AA$34,$A$35:$H$35,0))*고양시_Modal_split!D$3 * 0.01</f>
        <v>161.39117942633808</v>
      </c>
      <c r="AC36" s="207">
        <f>INDEX($A$35:$H$42,MATCH($L36,$B$35:$B$42,0),MATCH($AA$34,$A$35:$H$35,0))*고양시_Modal_split!E$3 * 0.01</f>
        <v>19.526170761978815</v>
      </c>
      <c r="AD36" s="207">
        <f>INDEX($A$35:$H$42,MATCH($L36,$B$35:$B$42,0),MATCH($AA$34,$A$35:$H$35,0))*고양시_Modal_split!F$3 * 0.01</f>
        <v>31.468363073347227</v>
      </c>
      <c r="AE36" s="207">
        <f>INDEX($A$35:$H$42,MATCH($L36,$B$35:$B$42,0),MATCH($AA$34,$A$35:$H$35,0))*고양시_Modal_split!G$3 * 0.01</f>
        <v>3.1571313007065918</v>
      </c>
      <c r="AF36" s="207">
        <f>INDEX($A$35:$H$42,MATCH($L36,$B$35:$B$42,0),MATCH($AA$34,$A$35:$H$35,0))*고양시_Modal_split!H$3 * 0.01</f>
        <v>3.4316644572897743E-2</v>
      </c>
      <c r="AG36" s="207">
        <f>INDEX($A$35:$H$42,MATCH($L36,$B$35:$B$42,0),MATCH($AA$34,$A$35:$H$35,0))*고양시_Modal_split!I$3 * 0.01</f>
        <v>9.5400271912655725</v>
      </c>
      <c r="AH36" s="207">
        <f>INDEX($A$35:$H$42,MATCH($L36,$B$35:$B$42,0),MATCH($AA$34,$A$35:$H$35,0))*고양시_Modal_split!J$3 * 0.01</f>
        <v>104.45986607990073</v>
      </c>
      <c r="AI36" s="207">
        <f>INDEX($A$35:$H$42,MATCH($L36,$B$35:$B$42,0),MATCH($AA$34,$A$35:$H$35,0))*고양시_Modal_split!K$3 * 0.01</f>
        <v>0.51474966859346605</v>
      </c>
      <c r="AJ36" s="207">
        <f>INDEX($A$35:$H$42,MATCH($L36,$B$35:$B$42,0),MATCH($AA$34,$A$35:$H$35,0))*고양시_Modal_split!L$3 * 0.01</f>
        <v>10.363626661015118</v>
      </c>
      <c r="AK36" s="207">
        <f>INDEX($A$35:$H$42,MATCH($L36,$B$35:$B$42,0),MATCH($AA$34,$A$35:$H$35,0))*고양시_Modal_split!M$3 * 0.01</f>
        <v>0.78928282517664794</v>
      </c>
      <c r="AL36" s="207">
        <f>INDEX($A$35:$H$42,MATCH($L36,$B$35:$B$42,0),MATCH($AA$34,$A$35:$H$35,0))*고양시_Modal_split!N$3 * 0.01</f>
        <v>0.34316644572897742</v>
      </c>
      <c r="AM36" s="207">
        <f>INDEX($A$35:$H$42,MATCH($L36,$B$35:$B$42,0),MATCH($AA$34,$A$35:$H$35,0))*고양시_Modal_split!O$3 * 0.01</f>
        <v>0.61769960231215937</v>
      </c>
      <c r="AN36" s="207">
        <f>INDEX($A$35:$H$42,MATCH($L36,$B$35:$B$42,0),MATCH($AA$34,$A$35:$H$35,0))*고양시_Modal_split!P$3 * 0.01</f>
        <v>343.16644572897741</v>
      </c>
      <c r="AO36" s="303">
        <f>INDEX($A$35:$H$42,MATCH($L36,$B$35:$B$42,0),MATCH($AO$34,$A$35:$H$35,0))*고양시_Modal_split!C$3 * 0.01</f>
        <v>4.2590726861484816E-2</v>
      </c>
      <c r="AP36" s="303">
        <f>INDEX($A$35:$H$42,MATCH($L36,$B$35:$B$42,0),MATCH($AO$34,$A$35:$H$35,0))*고양시_Modal_split!D$3 * 0.01</f>
        <v>7.1537210153415405</v>
      </c>
      <c r="AQ36" s="303">
        <f>INDEX($A$35:$H$42,MATCH($L36,$B$35:$B$42,0),MATCH($AO$34,$A$35:$H$35,0))*고양시_Modal_split!E$3 * 0.01</f>
        <v>0.86550441372088804</v>
      </c>
      <c r="AR36" s="303">
        <f>INDEX($A$35:$H$42,MATCH($L36,$B$35:$B$42,0),MATCH($AO$34,$A$35:$H$35,0))*고양시_Modal_split!F$3 * 0.01</f>
        <v>1.3948463047136277</v>
      </c>
      <c r="AS36" s="303">
        <f>INDEX($A$35:$H$42,MATCH($L36,$B$35:$B$42,0),MATCH($AO$34,$A$35:$H$35,0))*고양시_Modal_split!G$3 * 0.01</f>
        <v>0.13994095968773584</v>
      </c>
      <c r="AT36" s="303">
        <f>INDEX($A$35:$H$42,MATCH($L36,$B$35:$B$42,0),MATCH($AO$34,$A$35:$H$35,0))*고양시_Modal_split!H$3 * 0.01</f>
        <v>1.5210973879101722E-3</v>
      </c>
      <c r="AU36" s="303">
        <f>INDEX($A$35:$H$42,MATCH($L36,$B$35:$B$42,0),MATCH($AO$34,$A$35:$H$35,0))*고양시_Modal_split!I$3 * 0.01</f>
        <v>0.42286507383902788</v>
      </c>
      <c r="AV36" s="303">
        <f>INDEX($A$35:$H$42,MATCH($L36,$B$35:$B$42,0),MATCH($AO$34,$A$35:$H$35,0))*고양시_Modal_split!J$3 * 0.01</f>
        <v>4.6302204487985641</v>
      </c>
      <c r="AW36" s="303">
        <f>INDEX($A$35:$H$42,MATCH($L36,$B$35:$B$42,0),MATCH($AO$34,$A$35:$H$35,0))*고양시_Modal_split!K$3 * 0.01</f>
        <v>2.2816460818652583E-2</v>
      </c>
      <c r="AX36" s="303">
        <f>INDEX($A$35:$H$42,MATCH($L36,$B$35:$B$42,0),MATCH($AO$34,$A$35:$H$35,0))*고양시_Modal_split!L$3 * 0.01</f>
        <v>0.45937141114887203</v>
      </c>
      <c r="AY36" s="303">
        <f>INDEX($A$35:$H$42,MATCH($L36,$B$35:$B$42,0),MATCH($AO$34,$A$35:$H$35,0))*고양시_Modal_split!M$3 * 0.01</f>
        <v>3.4985239921933961E-2</v>
      </c>
      <c r="AZ36" s="303">
        <f>INDEX($A$35:$H$42,MATCH($L36,$B$35:$B$42,0),MATCH($AO$34,$A$35:$H$35,0))*고양시_Modal_split!N$3 * 0.01</f>
        <v>1.5210973879101725E-2</v>
      </c>
      <c r="BA36" s="207">
        <f>INDEX($A$35:$H$42,MATCH($L36,$B$35:$B$42,0),MATCH($AO$34,$A$35:$H$35,0))*고양시_Modal_split!O$3 * 0.01</f>
        <v>2.7379752982383102E-2</v>
      </c>
      <c r="BB36" s="207">
        <f>INDEX($A$35:$H$42,MATCH($L36,$B$35:$B$42,0),MATCH($AO$34,$A$35:$H$35,0))*고양시_Modal_split!P$3 * 0.01</f>
        <v>15.210973879101724</v>
      </c>
      <c r="BC36" s="207">
        <f>INDEX($A$35:$H$42,MATCH($L36,$B$35:$B$42,0),MATCH($BC$34,$A$35:$H$35,0))*고양시_Modal_split!C$3 * 0.01</f>
        <v>1.1550027623453533E-4</v>
      </c>
      <c r="BD36" s="207">
        <f>INDEX($A$35:$H$42,MATCH($L36,$B$35:$B$42,0),MATCH($BC$34,$A$35:$H$35,0))*고양시_Modal_split!D$3 * 0.01</f>
        <v>1.9399921397536418E-2</v>
      </c>
      <c r="BE36" s="207">
        <f>INDEX($A$35:$H$42,MATCH($L36,$B$35:$B$42,0),MATCH($BC$34,$A$35:$H$35,0))*고양시_Modal_split!E$3 * 0.01</f>
        <v>2.3471306134803787E-3</v>
      </c>
      <c r="BF36" s="207">
        <f>INDEX($A$35:$H$42,MATCH($L36,$B$35:$B$42,0),MATCH($BC$34,$A$35:$H$35,0))*고양시_Modal_split!F$3 * 0.01</f>
        <v>3.7826340466810323E-3</v>
      </c>
      <c r="BG36" s="207">
        <f>INDEX($A$35:$H$42,MATCH($L36,$B$35:$B$42,0),MATCH($BC$34,$A$35:$H$35,0))*고양시_Modal_split!G$3 * 0.01</f>
        <v>3.7950090762775898E-4</v>
      </c>
      <c r="BH36" s="207">
        <f>INDEX($A$35:$H$42,MATCH($L36,$B$35:$B$42,0),MATCH($BC$34,$A$35:$H$35,0))*고양시_Modal_split!H$3 * 0.01</f>
        <v>4.1250098655191194E-6</v>
      </c>
      <c r="BI36" s="207">
        <f>INDEX($A$35:$H$42,MATCH($L36,$B$35:$B$42,0),MATCH($BC$34,$A$35:$H$35,0))*고양시_Modal_split!I$3 * 0.01</f>
        <v>1.1467527426143151E-3</v>
      </c>
      <c r="BJ36" s="207">
        <f>INDEX($A$35:$H$42,MATCH($L36,$B$35:$B$42,0),MATCH($BC$34,$A$35:$H$35,0))*고양시_Modal_split!J$3 * 0.01</f>
        <v>1.2556530030640198E-2</v>
      </c>
      <c r="BK36" s="207">
        <f>INDEX($A$35:$H$42,MATCH($L36,$B$35:$B$42,0),MATCH($BC$34,$A$35:$H$35,0))*고양시_Modal_split!K$3 * 0.01</f>
        <v>6.1875147982786777E-5</v>
      </c>
      <c r="BL36" s="207">
        <f>INDEX($A$35:$H$42,MATCH($L36,$B$35:$B$42,0),MATCH($BC$34,$A$35:$H$35,0))*고양시_Modal_split!L$3 * 0.01</f>
        <v>1.2457529793867741E-3</v>
      </c>
      <c r="BM36" s="207">
        <f>INDEX($A$35:$H$42,MATCH($L36,$B$35:$B$42,0),MATCH($BC$34,$A$35:$H$35,0))*고양시_Modal_split!M$3 * 0.01</f>
        <v>9.4875226906939746E-5</v>
      </c>
      <c r="BN36" s="207">
        <f>INDEX($A$35:$H$42,MATCH($L36,$B$35:$B$42,0),MATCH($BC$34,$A$35:$H$35,0))*고양시_Modal_split!N$3 * 0.01</f>
        <v>4.1250098655191201E-5</v>
      </c>
      <c r="BO36" s="207">
        <f>INDEX($A$35:$H$42,MATCH($L36,$B$35:$B$42,0),MATCH($BC$34,$A$35:$H$35,0))*고양시_Modal_split!O$3 * 0.01</f>
        <v>7.4250177579344135E-5</v>
      </c>
      <c r="BP36" s="207">
        <f>INDEX($A$35:$H$42,MATCH($L36,$B$35:$B$42,0),MATCH($BC$34,$A$35:$H$35,0))*고양시_Modal_split!P$3 * 0.01</f>
        <v>4.1250098655191192E-2</v>
      </c>
      <c r="BQ36" s="207">
        <f>INDEX($A$35:$H$42,MATCH($L36,$B$35:$B$42,0),MATCH($BQ$34,$A$35:$H$35,0))*고양시_Modal_split!C$3 * 0.01</f>
        <v>3.2725078266451562E-4</v>
      </c>
      <c r="BR36" s="207">
        <f>INDEX($A$35:$H$42,MATCH($L36,$B$35:$B$42,0),MATCH($BQ$34,$A$35:$H$35,0))*고양시_Modal_split!D$3 * 0.01</f>
        <v>5.496644395968632E-2</v>
      </c>
      <c r="BS36" s="207">
        <f>INDEX($A$35:$H$42,MATCH($L36,$B$35:$B$42,0),MATCH($BQ$34,$A$35:$H$35,0))*고양시_Modal_split!E$3 * 0.01</f>
        <v>6.6502034048610496E-3</v>
      </c>
      <c r="BT36" s="207">
        <f>INDEX($A$35:$H$42,MATCH($L36,$B$35:$B$42,0),MATCH($BQ$34,$A$35:$H$35,0))*고양시_Modal_split!F$3 * 0.01</f>
        <v>1.0717463132262886E-2</v>
      </c>
      <c r="BU36" s="207">
        <f>INDEX($A$35:$H$42,MATCH($L36,$B$35:$B$42,0),MATCH($BQ$34,$A$35:$H$35,0))*고양시_Modal_split!G$3 * 0.01</f>
        <v>1.0752525716119798E-3</v>
      </c>
      <c r="BV36" s="207">
        <f>INDEX($A$35:$H$42,MATCH($L36,$B$35:$B$42,0),MATCH($BQ$34,$A$35:$H$35,0))*고양시_Modal_split!H$3 * 0.01</f>
        <v>1.168752795230413E-5</v>
      </c>
      <c r="BW36" s="207">
        <f>INDEX($A$35:$H$42,MATCH($L36,$B$35:$B$42,0),MATCH($BQ$34,$A$35:$H$35,0))*고양시_Modal_split!I$3 * 0.01</f>
        <v>3.2491327707405478E-3</v>
      </c>
      <c r="BX36" s="207">
        <f>INDEX($A$35:$H$42,MATCH($L36,$B$35:$B$42,0),MATCH($BQ$34,$A$35:$H$35,0))*고양시_Modal_split!J$3 * 0.01</f>
        <v>3.5576835086813773E-2</v>
      </c>
      <c r="BY36" s="207">
        <f>INDEX($A$35:$H$42,MATCH($L36,$B$35:$B$42,0),MATCH($BQ$34,$A$35:$H$35,0))*고양시_Modal_split!K$3 * 0.01</f>
        <v>1.7531291928456192E-4</v>
      </c>
      <c r="BZ36" s="207">
        <f>INDEX($A$35:$H$42,MATCH($L36,$B$35:$B$42,0),MATCH($BQ$34,$A$35:$H$35,0))*고양시_Modal_split!L$3 * 0.01</f>
        <v>3.529633441595847E-3</v>
      </c>
      <c r="CA36" s="207">
        <f>INDEX($A$35:$H$42,MATCH($L36,$B$35:$B$42,0),MATCH($BQ$34,$A$35:$H$35,0))*고양시_Modal_split!M$3 * 0.01</f>
        <v>2.6881314290299495E-4</v>
      </c>
      <c r="CB36" s="207">
        <f>INDEX($A$35:$H$42,MATCH($L36,$B$35:$B$42,0),MATCH($BQ$34,$A$35:$H$35,0))*고양시_Modal_split!N$3 * 0.01</f>
        <v>1.1687527952304129E-4</v>
      </c>
      <c r="CC36" s="207">
        <f>INDEX($A$35:$H$42,MATCH($L36,$B$35:$B$42,0),MATCH($BQ$34,$A$35:$H$35,0))*고양시_Modal_split!O$3 * 0.01</f>
        <v>2.1037550314147432E-4</v>
      </c>
      <c r="CD36" s="207">
        <f>INDEX($A$35:$H$42,MATCH($L36,$B$35:$B$42,0),MATCH($BQ$34,$A$35:$H$35,0))*고양시_Modal_split!P$3 * 0.01</f>
        <v>0.11687527952304129</v>
      </c>
      <c r="CE36" s="304">
        <f>M36+AA36+AO36+BC36+BQ36</f>
        <v>1.1274655714864346</v>
      </c>
      <c r="CF36" s="304">
        <f t="shared" ref="CF36:CR42" si="5">N36+AB36+AP36+BD36+BR36</f>
        <v>189.37394938216795</v>
      </c>
      <c r="CG36" s="304">
        <f t="shared" si="5"/>
        <v>22.911711077706471</v>
      </c>
      <c r="CH36" s="304">
        <f t="shared" si="5"/>
        <v>36.924497466180732</v>
      </c>
      <c r="CI36" s="304">
        <f t="shared" si="5"/>
        <v>3.7045297348839985</v>
      </c>
      <c r="CJ36" s="304">
        <f t="shared" si="5"/>
        <v>4.0266627553086951E-2</v>
      </c>
      <c r="CK36" s="304">
        <f t="shared" si="5"/>
        <v>11.194122459758171</v>
      </c>
      <c r="CL36" s="304">
        <f t="shared" si="5"/>
        <v>122.57161427159669</v>
      </c>
      <c r="CM36" s="304">
        <f t="shared" si="5"/>
        <v>0.60399941329630424</v>
      </c>
      <c r="CN36" s="304">
        <f t="shared" si="5"/>
        <v>12.16052152103226</v>
      </c>
      <c r="CO36" s="304">
        <f t="shared" si="5"/>
        <v>0.92613243372099963</v>
      </c>
      <c r="CP36" s="304">
        <f t="shared" si="5"/>
        <v>0.40266627553086948</v>
      </c>
      <c r="CQ36" s="304">
        <f t="shared" si="5"/>
        <v>0.72479929595556525</v>
      </c>
      <c r="CR36" s="304">
        <f t="shared" si="5"/>
        <v>402.66627553086948</v>
      </c>
      <c r="CS36" s="305">
        <f>H36-CR36</f>
        <v>0</v>
      </c>
      <c r="CV36" s="265"/>
      <c r="CW36" s="265" t="s">
        <v>710</v>
      </c>
      <c r="CX36" s="267">
        <f>INDEX($M$34:$Z$42,MATCH($CW36,$L$34:$L$42,0),MATCH(CX$35,$M$35:$Z$35,0))/INDEX(고양시_재차인원!$D$4:$H$35,MATCH("고양시",고양시_재차인원!$B$4:$B$35,0),MATCH($CX$34,고양시_재차인원!$D$4:$H$4,0))</f>
        <v>18.530966584938465</v>
      </c>
      <c r="CY36" s="267">
        <f>INDEX($M$34:$Z$42,MATCH($CW36,$L$34:$L$42,0),MATCH(CY$35,$M$35:$Z$35,0))/INDEX(고양시_재차인원!$K$4:$O$20,MATCH("경기도",고양시_재차인원!$K$4:$K$20,0),MATCH(CY$35,고양시_재차인원!$K$4:$O$4,0))</f>
        <v>1.5328492721296326E-4</v>
      </c>
      <c r="CZ36" s="267">
        <f>INDEX($M$34:$Z$42,MATCH($CW36,$L$34:$L$42,0),MATCH(CZ$35,$M$35:$Z$35,0))/INDEX(고양시_재차인원!$K$4:$O$20,MATCH("경기도",고양시_재차인원!$K$4:$K$20,0),MATCH(CZ$35,고양시_재차인원!$K$4:$O$4,0))</f>
        <v>4.2613209765203788E-2</v>
      </c>
      <c r="DA36" s="267">
        <f>INDEX($M$34:$Z$42,MATCH($CW36,$L$34:$L$42,0),MATCH(DA$35,$M$35:$Z$35,0))/INDEX(고양시_재차인원!$D$4:$H$35,MATCH("고양시",고양시_재차인원!$B$4:$B$35,0),MATCH($CX$34,고양시_재차인원!$D$4:$H$4,0))</f>
        <v>1.1899536271850768</v>
      </c>
      <c r="DB36" s="267">
        <f>INDEX($AA$34:$AN$42,MATCH($CW36,$L$34:$L$42,0),MATCH(DB$35,$AA$35:$AN$35,0))/INDEX(고양시_재차인원!$D$4:$H$35,MATCH("고양시",고양시_재차인원!$B$4:$B$35,0),MATCH($DB$34,고양시_재차인원!$D$4:$H$4,0))</f>
        <v>114.46182938038163</v>
      </c>
      <c r="DC36" s="267">
        <f>INDEX($AA$34:$AN$42,MATCH($CW36,$L$34:$L$42,0),MATCH(DC$35,$AA$35:$AN$35,0))/INDEX(고양시_재차인원!$K$4:$O$20,MATCH("경기도",고양시_재차인원!$K$4:$K$20,0),MATCH(DC$35,고양시_재차인원!$K$4:$O$4,0))</f>
        <v>1.1919640351822766E-3</v>
      </c>
      <c r="DD36" s="267">
        <f>INDEX($AA$34:$AN$42,MATCH($CW36,$L$34:$L$42,0),MATCH(DD$35,$AA$35:$AN$35,0))/INDEX(고양시_재차인원!$K$4:$O$20,MATCH("경기도",고양시_재차인원!$K$4:$K$20,0),MATCH(DD$35,고양시_재차인원!$K$4:$O$4,0))</f>
        <v>0.33136600178067288</v>
      </c>
      <c r="DE36" s="267">
        <f>INDEX($AA$34:$AN$42,MATCH($CW36,$L$34:$L$42,0),MATCH(DE$35,$AA$35:$AN$35,0))/INDEX(고양시_재차인원!$D$4:$H$35,MATCH("고양시",고양시_재차인원!$B$4:$B$35,0),MATCH($DB$34,고양시_재차인원!$D$4:$H$4,0))</f>
        <v>7.3500898305071765</v>
      </c>
      <c r="DF36" s="267">
        <f>INDEX($AO$34:$BB$42,MATCH($CW36,$L$34:$L$42,0),MATCH(DF$35,$AO$35:$BB$35,0))/INDEX(고양시_재차인원!$D$4:$H$35,MATCH("고양시",고양시_재차인원!$B$4:$B$35,0),MATCH($DF$34,고양시_재차인원!$D$4:$H$4,0))</f>
        <v>5.5028623194934925</v>
      </c>
      <c r="DG36" s="267">
        <f>INDEX($AO$34:$BB$42,MATCH($CW36,$L$34:$L$42,0),MATCH(DG$35,$AO$35:$BB$35,0))/INDEX(고양시_재차인원!$K$4:$O$20,MATCH("경기도",고양시_재차인원!$K$4:$K$20,0),MATCH(DG$35,고양시_재차인원!$K$4:$O$4,0))</f>
        <v>5.2834226742277605E-5</v>
      </c>
      <c r="DH36" s="267">
        <f>INDEX($AO$34:$BB$42,MATCH($CW36,$L$34:$L$42,0),MATCH(DH$35,$AO$35:$BB$35,0))/INDEX(고양시_재차인원!$K$4:$O$20,MATCH("경기도",고양시_재차인원!$K$4:$K$20,0),MATCH(DH$35,고양시_재차인원!$K$4:$O$4,0))</f>
        <v>1.4687915034353174E-2</v>
      </c>
      <c r="DI36" s="267">
        <f>INDEX($AO$34:$BB$42,MATCH($CW36,$L$34:$L$42,0),MATCH(DI$35,$AO$35:$BB$35,0))/INDEX(고양시_재차인원!$D$4:$H$35,MATCH("고양시",고양시_재차인원!$B$4:$B$35,0),MATCH($DF$34,고양시_재차인원!$D$4:$H$4,0))</f>
        <v>0.35336262396067081</v>
      </c>
      <c r="DJ36" s="267">
        <f>INDEX($BC$34:$BP$42,MATCH($CW36,$L$34:$L$42,0),MATCH(DJ$35,$BC$35:$BP$35,0))/INDEX(고양시_재차인원!$D$4:$H$35,MATCH("고양시",고양시_재차인원!$B$4:$B$35,0),MATCH($DJ$34,고양시_재차인원!$D$4:$H$4,0))</f>
        <v>1.4264648086423835E-2</v>
      </c>
      <c r="DK36" s="267">
        <f>INDEX($BC$34:$BP$42,MATCH($CW36,$L$34:$L$42,0),MATCH(DK$35,$BC$35:$BP$35,0))/INDEX(고양시_재차인원!$K$4:$O$20,MATCH("경기도",고양시_재차인원!$K$4:$K$20,0),MATCH(DK$35,고양시_재차인원!$K$4:$O$4,0))</f>
        <v>1.4327925896210905E-7</v>
      </c>
      <c r="DL36" s="267">
        <f>INDEX($BC$34:$BP$42,MATCH($CW36,$L$34:$L$42,0),MATCH(DL$35,$BC$35:$BP$35,0))/INDEX(고양시_재차인원!$K$4:$O$20,MATCH("경기도",고양시_재차인원!$K$4:$K$20,0),MATCH(DL$35,고양시_재차인원!$K$4:$O$4,0))</f>
        <v>3.9831633991466312E-5</v>
      </c>
      <c r="DM36" s="267">
        <f>INDEX($BC$34:$BP$42,MATCH($CW36,$L$34:$L$42,0),MATCH(DM$35,$BC$35:$BP$35,0))/INDEX(고양시_재차인원!$D$4:$H$35,MATCH("고양시",고양시_재차인원!$B$4:$B$35,0),MATCH($DJ$34,고양시_재차인원!$D$4:$H$4,0))</f>
        <v>9.1599483778439269E-4</v>
      </c>
      <c r="DN36" s="267">
        <f>INDEX($BQ$34:$CD$42,MATCH($CW36,$L$34:$L$42,0),MATCH(DN$35,$BQ$35:$CD$35,0))/INDEX(고양시_재차인원!$D$4:$H$35,MATCH("고양시",고양시_재차인원!$B$4:$B$35,0),MATCH($DN$34,고양시_재차인원!$D$4:$H$4,0))</f>
        <v>4.3624161872766923E-2</v>
      </c>
      <c r="DO36" s="267">
        <f>INDEX($BQ$34:$CD$42,MATCH($CW36,$L$34:$L$42,0),MATCH(DO$35,$BQ$35:$CD$35,0))/INDEX(고양시_재차인원!$K$4:$O$20,MATCH("경기도",고양시_재차인원!$K$4:$K$20,0),MATCH(DO$35,고양시_재차인원!$K$4:$O$4,0))</f>
        <v>4.0595790039264087E-7</v>
      </c>
      <c r="DP36" s="267">
        <f>INDEX($BQ$34:$CD$42,MATCH($CW36,$L$34:$L$42,0),MATCH(DP$35,$BQ$35:$CD$35,0))/INDEX(고양시_재차인원!$K$4:$O$20,MATCH("경기도",고양시_재차인원!$K$4:$K$20,0),MATCH(DP$35,고양시_재차인원!$K$4:$O$4,0))</f>
        <v>1.1285629630915415E-4</v>
      </c>
      <c r="DQ36" s="267">
        <f>INDEX($BQ$34:$CD$42,MATCH($CW36,$L$34:$L$42,0),MATCH(DQ$35,$BQ$35:$CD$35,0))/INDEX(고양시_재차인원!$D$4:$H$35,MATCH("고양시",고양시_재차인원!$B$4:$B$35,0),MATCH($DN$34,고양시_재차인원!$D$4:$H$4,0))</f>
        <v>2.8012963822189262E-3</v>
      </c>
      <c r="DR36" s="270">
        <f>CX36+DB36+DF36+DJ36+DN36</f>
        <v>138.55354709477277</v>
      </c>
      <c r="DS36" s="270">
        <f t="shared" ref="DS36:DU42" si="6">CY36+DC36+DG36+DK36+DO36</f>
        <v>1.3986324262968721E-3</v>
      </c>
      <c r="DT36" s="270">
        <f t="shared" si="6"/>
        <v>0.38881981451053044</v>
      </c>
      <c r="DU36" s="270">
        <f t="shared" si="6"/>
        <v>8.897123372872926</v>
      </c>
      <c r="DW36" s="278"/>
      <c r="DX36" s="278" t="s">
        <v>710</v>
      </c>
      <c r="DY36" s="281">
        <f>DR36+DU36</f>
        <v>147.45067046764569</v>
      </c>
      <c r="DZ36" s="281">
        <f>DS36+DT36</f>
        <v>0.39021844693682733</v>
      </c>
      <c r="EB36" s="278"/>
      <c r="EC36" s="278" t="s">
        <v>12</v>
      </c>
      <c r="ED36" s="281">
        <f>DY36</f>
        <v>147.45067046764569</v>
      </c>
      <c r="EE36" s="281">
        <f t="shared" ref="EE36:EE42" si="7">DZ36</f>
        <v>0.39021844693682733</v>
      </c>
      <c r="EL36" s="420" t="s">
        <v>728</v>
      </c>
      <c r="EM36" s="420"/>
      <c r="EN36" s="420"/>
      <c r="EO36" s="420"/>
      <c r="EP36" s="421">
        <v>849201</v>
      </c>
      <c r="EQ36" s="422">
        <f>ED43</f>
        <v>748.54307884735204</v>
      </c>
      <c r="ER36" s="422">
        <f t="shared" ref="ER36" si="8">EE43</f>
        <v>1.98096974918278</v>
      </c>
      <c r="ES36">
        <v>0</v>
      </c>
      <c r="EU36" s="306" t="s">
        <v>728</v>
      </c>
      <c r="EV36" s="306"/>
      <c r="EW36" s="306"/>
      <c r="EX36" s="306"/>
      <c r="EY36" s="307">
        <v>849201</v>
      </c>
      <c r="EZ36" s="308">
        <f>EQ36*$EI$29</f>
        <v>748.54307884735204</v>
      </c>
      <c r="FA36" s="308">
        <f t="shared" ref="FA36" si="9">ER36*$EI$29</f>
        <v>1.98096974918278</v>
      </c>
    </row>
    <row r="37" spans="1:157" ht="25">
      <c r="A37" s="205" t="s">
        <v>700</v>
      </c>
      <c r="B37" s="205" t="s">
        <v>713</v>
      </c>
      <c r="C37" s="400">
        <f>$D9*KTDB_TripDistribution_2045!L$12 * (1+KTDB_발생량도착량_증가율!$C$8) * (1+KTDB_발생량도착량_증가율!$D$7*5) * (1+KTDB_발생량도착량_증가율!$E$7*5) * (1+KTDB_발생량도착량_증가율!$F$7*5) * (1+KTDB_발생량도착량_증가율!$G$7*5)</f>
        <v>83.858627183381245</v>
      </c>
      <c r="D37" s="400">
        <f>$D9*KTDB_TripDistribution_2045!M$12 * (1+KTDB_발생량도착량_증가율!$C$8) * (1+KTDB_발생량도착량_증가율!$D$7*5) * (1+KTDB_발생량도착량_증가율!$E$7*5) * (1+KTDB_발생량도착량_증가율!$F$7*5) * (1+KTDB_발생량도착량_증가율!$G$7*5)</f>
        <v>652.09586787014507</v>
      </c>
      <c r="E37" s="400">
        <f>$D9*KTDB_TripDistribution_2045!N$12 * (1+KTDB_발생량도착량_증가율!$C$8) * (1+KTDB_발생량도착량_증가율!$D$7*5) * (1+KTDB_발생량도착량_증가율!$E$7*5) * (1+KTDB_발생량도착량_증가율!$F$7*5) * (1+KTDB_발생량도착량_증가율!$G$7*5)</f>
        <v>28.904379598571481</v>
      </c>
      <c r="F37" s="400">
        <f>$D9*KTDB_TripDistribution_2045!O$12 * (1+KTDB_발생량도착량_증가율!$C$8) * (1+KTDB_발생량도착량_증가율!$D$7*5) * (1+KTDB_발생량도착량_증가율!$E$7*5) * (1+KTDB_발생량도착량_증가율!$F$7*5) * (1+KTDB_발생량도착량_증가율!$G$7*5)</f>
        <v>7.838475823341437E-2</v>
      </c>
      <c r="G37" s="400">
        <f>$D9*KTDB_TripDistribution_2045!P$12 * (1+KTDB_발생량도착량_증가율!$C$8) * (1+KTDB_발생량도착량_증가율!$D$7*5) * (1+KTDB_발생량도착량_증가율!$E$7*5) * (1+KTDB_발생량도착량_증가율!$F$7*5) * (1+KTDB_발생량도착량_증가율!$G$7*5)</f>
        <v>0.22209014832800661</v>
      </c>
      <c r="H37" s="400">
        <f>$D9*KTDB_TripDistribution_2045!Q$12 * (1+KTDB_발생량도착량_증가율!$C$8) * (1+KTDB_발생량도착량_증가율!$D$7*5) * (1+KTDB_발생량도착량_증가율!$E$7*5) * (1+KTDB_발생량도착량_증가율!$F$7*5) * (1+KTDB_발생량도착량_증가율!$G$7*5)</f>
        <v>765.15934955865919</v>
      </c>
      <c r="J37" s="230">
        <f t="shared" si="4"/>
        <v>765.15934955865919</v>
      </c>
      <c r="K37" s="206"/>
      <c r="L37" s="206" t="s">
        <v>712</v>
      </c>
      <c r="M37" s="206">
        <f>INDEX($A$35:$H$42,MATCH($L37,$B$35:$B$42,0),MATCH($M$34,$A$35:$H$35,0))*고양시_Modal_split!C$3 * 0.01</f>
        <v>0.23480415611346747</v>
      </c>
      <c r="N37" s="206">
        <f>INDEX($A$35:$H$42,MATCH($L37,$B$35:$B$42,0),MATCH($M$34,$A$35:$H$35,0))*고양시_Modal_split!D$3 * 0.01</f>
        <v>39.438712364344205</v>
      </c>
      <c r="O37" s="206">
        <f>INDEX($A$35:$H$42,MATCH($L37,$B$35:$B$42,0),MATCH($M$34,$A$35:$H$35,0))*고양시_Modal_split!E$3 * 0.01</f>
        <v>4.7715558867343928</v>
      </c>
      <c r="P37" s="206">
        <f>INDEX($A$35:$H$42,MATCH($L37,$B$35:$B$42,0),MATCH($M$34,$A$35:$H$35,0))*고양시_Modal_split!F$3 * 0.01</f>
        <v>7.6898361127160602</v>
      </c>
      <c r="Q37" s="206">
        <f>INDEX($A$35:$H$42,MATCH($L37,$B$35:$B$42,0),MATCH($M$34,$A$35:$H$35,0))*고양시_Modal_split!G$3 * 0.01</f>
        <v>0.77149937008710734</v>
      </c>
      <c r="R37" s="206">
        <f>INDEX($A$35:$H$42,MATCH($L37,$B$35:$B$42,0),MATCH($M$34,$A$35:$H$35,0))*고양시_Modal_split!H$3 * 0.01</f>
        <v>8.385862718338126E-3</v>
      </c>
      <c r="S37" s="206">
        <f>INDEX($A$35:$H$42,MATCH($L37,$B$35:$B$42,0),MATCH($M$34,$A$35:$H$35,0))*고양시_Modal_split!I$3 * 0.01</f>
        <v>2.3312698356979986</v>
      </c>
      <c r="T37" s="206">
        <f>INDEX($A$35:$H$42,MATCH($L37,$B$35:$B$42,0),MATCH($M$34,$A$35:$H$35,0))*고양시_Modal_split!J$3 * 0.01</f>
        <v>25.52656611462125</v>
      </c>
      <c r="U37" s="206">
        <f>INDEX($A$35:$H$42,MATCH($L37,$B$35:$B$42,0),MATCH($M$34,$A$35:$H$35,0))*고양시_Modal_split!K$3 * 0.01</f>
        <v>0.12578794077507188</v>
      </c>
      <c r="V37" s="206">
        <f>INDEX($A$35:$H$42,MATCH($L37,$B$35:$B$42,0),MATCH($M$34,$A$35:$H$35,0))*고양시_Modal_split!L$3 * 0.01</f>
        <v>2.5325305409381138</v>
      </c>
      <c r="W37" s="206">
        <f>INDEX($A$35:$H$42,MATCH($L37,$B$35:$B$42,0),MATCH($M$34,$A$35:$H$35,0))*고양시_Modal_split!M$3 * 0.01</f>
        <v>0.19287484252177683</v>
      </c>
      <c r="X37" s="206">
        <f>INDEX($A$35:$H$42,MATCH($L37,$B$35:$B$42,0),MATCH($M$34,$A$35:$H$35,0))*고양시_Modal_split!N$3 * 0.01</f>
        <v>8.3858627183381246E-2</v>
      </c>
      <c r="Y37" s="206">
        <f>INDEX($A$35:$H$42,MATCH($L37,$B$35:$B$42,0),MATCH($M$34,$A$35:$H$35,0))*고양시_Modal_split!O$3 * 0.01</f>
        <v>0.15094552893008625</v>
      </c>
      <c r="Z37" s="209">
        <f>INDEX($A$35:$H$42,MATCH($L37,$B$35:$B$42,0),MATCH($M$34,$A$35:$H$35,0))*고양시_Modal_split!P$3 * 0.01</f>
        <v>83.858627183381245</v>
      </c>
      <c r="AA37" s="207">
        <f>INDEX($A$35:$H$42,MATCH($L37,$B$35:$B$42,0),MATCH($AA$34,$A$35:$H$35,0))*고양시_Modal_split!C$3 * 0.01</f>
        <v>1.8258684300364061</v>
      </c>
      <c r="AB37" s="207">
        <f>INDEX($A$35:$H$42,MATCH($L37,$B$35:$B$42,0),MATCH($AA$34,$A$35:$H$35,0))*고양시_Modal_split!D$3 * 0.01</f>
        <v>306.68068665932924</v>
      </c>
      <c r="AC37" s="207">
        <f>INDEX($A$35:$H$42,MATCH($L37,$B$35:$B$42,0),MATCH($AA$34,$A$35:$H$35,0))*고양시_Modal_split!E$3 * 0.01</f>
        <v>37.104254881811251</v>
      </c>
      <c r="AD37" s="207">
        <f>INDEX($A$35:$H$42,MATCH($L37,$B$35:$B$42,0),MATCH($AA$34,$A$35:$H$35,0))*고양시_Modal_split!F$3 * 0.01</f>
        <v>59.797191083692304</v>
      </c>
      <c r="AE37" s="207">
        <f>INDEX($A$35:$H$42,MATCH($L37,$B$35:$B$42,0),MATCH($AA$34,$A$35:$H$35,0))*고양시_Modal_split!G$3 * 0.01</f>
        <v>5.999281984405334</v>
      </c>
      <c r="AF37" s="207">
        <f>INDEX($A$35:$H$42,MATCH($L37,$B$35:$B$42,0),MATCH($AA$34,$A$35:$H$35,0))*고양시_Modal_split!H$3 * 0.01</f>
        <v>6.5209586787014509E-2</v>
      </c>
      <c r="AG37" s="207">
        <f>INDEX($A$35:$H$42,MATCH($L37,$B$35:$B$42,0),MATCH($AA$34,$A$35:$H$35,0))*고양시_Modal_split!I$3 * 0.01</f>
        <v>18.128265126790033</v>
      </c>
      <c r="AH37" s="207">
        <f>INDEX($A$35:$H$42,MATCH($L37,$B$35:$B$42,0),MATCH($AA$34,$A$35:$H$35,0))*고양시_Modal_split!J$3 * 0.01</f>
        <v>198.49798217967219</v>
      </c>
      <c r="AI37" s="207">
        <f>INDEX($A$35:$H$42,MATCH($L37,$B$35:$B$42,0),MATCH($AA$34,$A$35:$H$35,0))*고양시_Modal_split!K$3 * 0.01</f>
        <v>0.97814380180521754</v>
      </c>
      <c r="AJ37" s="207">
        <f>INDEX($A$35:$H$42,MATCH($L37,$B$35:$B$42,0),MATCH($AA$34,$A$35:$H$35,0))*고양시_Modal_split!L$3 * 0.01</f>
        <v>19.693295209678382</v>
      </c>
      <c r="AK37" s="207">
        <f>INDEX($A$35:$H$42,MATCH($L37,$B$35:$B$42,0),MATCH($AA$34,$A$35:$H$35,0))*고양시_Modal_split!M$3 * 0.01</f>
        <v>1.4998204961013335</v>
      </c>
      <c r="AL37" s="207">
        <f>INDEX($A$35:$H$42,MATCH($L37,$B$35:$B$42,0),MATCH($AA$34,$A$35:$H$35,0))*고양시_Modal_split!N$3 * 0.01</f>
        <v>0.65209586787014517</v>
      </c>
      <c r="AM37" s="207">
        <f>INDEX($A$35:$H$42,MATCH($L37,$B$35:$B$42,0),MATCH($AA$34,$A$35:$H$35,0))*고양시_Modal_split!O$3 * 0.01</f>
        <v>1.1737725621662611</v>
      </c>
      <c r="AN37" s="207">
        <f>INDEX($A$35:$H$42,MATCH($L37,$B$35:$B$42,0),MATCH($AA$34,$A$35:$H$35,0))*고양시_Modal_split!P$3 * 0.01</f>
        <v>652.09586787014507</v>
      </c>
      <c r="AO37" s="303">
        <f>INDEX($A$35:$H$42,MATCH($L37,$B$35:$B$42,0),MATCH($AO$34,$A$35:$H$35,0))*고양시_Modal_split!C$3 * 0.01</f>
        <v>8.0932262876000152E-2</v>
      </c>
      <c r="AP37" s="303">
        <f>INDEX($A$35:$H$42,MATCH($L37,$B$35:$B$42,0),MATCH($AO$34,$A$35:$H$35,0))*고양시_Modal_split!D$3 * 0.01</f>
        <v>13.593729725208169</v>
      </c>
      <c r="AQ37" s="303">
        <f>INDEX($A$35:$H$42,MATCH($L37,$B$35:$B$42,0),MATCH($AO$34,$A$35:$H$35,0))*고양시_Modal_split!E$3 * 0.01</f>
        <v>1.6446591991587172</v>
      </c>
      <c r="AR37" s="303">
        <f>INDEX($A$35:$H$42,MATCH($L37,$B$35:$B$42,0),MATCH($AO$34,$A$35:$H$35,0))*고양시_Modal_split!F$3 * 0.01</f>
        <v>2.6505316091890045</v>
      </c>
      <c r="AS37" s="303">
        <f>INDEX($A$35:$H$42,MATCH($L37,$B$35:$B$42,0),MATCH($AO$34,$A$35:$H$35,0))*고양시_Modal_split!G$3 * 0.01</f>
        <v>0.2659202923068576</v>
      </c>
      <c r="AT37" s="303">
        <f>INDEX($A$35:$H$42,MATCH($L37,$B$35:$B$42,0),MATCH($AO$34,$A$35:$H$35,0))*고양시_Modal_split!H$3 * 0.01</f>
        <v>2.8904379598571482E-3</v>
      </c>
      <c r="AU37" s="303">
        <f>INDEX($A$35:$H$42,MATCH($L37,$B$35:$B$42,0),MATCH($AO$34,$A$35:$H$35,0))*고양시_Modal_split!I$3 * 0.01</f>
        <v>0.80354175284028717</v>
      </c>
      <c r="AV37" s="303">
        <f>INDEX($A$35:$H$42,MATCH($L37,$B$35:$B$42,0),MATCH($AO$34,$A$35:$H$35,0))*고양시_Modal_split!J$3 * 0.01</f>
        <v>8.7984931498051591</v>
      </c>
      <c r="AW37" s="303">
        <f>INDEX($A$35:$H$42,MATCH($L37,$B$35:$B$42,0),MATCH($AO$34,$A$35:$H$35,0))*고양시_Modal_split!K$3 * 0.01</f>
        <v>4.3356569397857224E-2</v>
      </c>
      <c r="AX37" s="303">
        <f>INDEX($A$35:$H$42,MATCH($L37,$B$35:$B$42,0),MATCH($AO$34,$A$35:$H$35,0))*고양시_Modal_split!L$3 * 0.01</f>
        <v>0.87291226387685872</v>
      </c>
      <c r="AY37" s="303">
        <f>INDEX($A$35:$H$42,MATCH($L37,$B$35:$B$42,0),MATCH($AO$34,$A$35:$H$35,0))*고양시_Modal_split!M$3 * 0.01</f>
        <v>6.6480073076714399E-2</v>
      </c>
      <c r="AZ37" s="303">
        <f>INDEX($A$35:$H$42,MATCH($L37,$B$35:$B$42,0),MATCH($AO$34,$A$35:$H$35,0))*고양시_Modal_split!N$3 * 0.01</f>
        <v>2.8904379598571485E-2</v>
      </c>
      <c r="BA37" s="207">
        <f>INDEX($A$35:$H$42,MATCH($L37,$B$35:$B$42,0),MATCH($AO$34,$A$35:$H$35,0))*고양시_Modal_split!O$3 * 0.01</f>
        <v>5.2027883277428667E-2</v>
      </c>
      <c r="BB37" s="207">
        <f>INDEX($A$35:$H$42,MATCH($L37,$B$35:$B$42,0),MATCH($AO$34,$A$35:$H$35,0))*고양시_Modal_split!P$3 * 0.01</f>
        <v>28.904379598571481</v>
      </c>
      <c r="BC37" s="207">
        <f>INDEX($A$35:$H$42,MATCH($L37,$B$35:$B$42,0),MATCH($BC$34,$A$35:$H$35,0))*고양시_Modal_split!C$3 * 0.01</f>
        <v>2.1947732305356023E-4</v>
      </c>
      <c r="BD37" s="207">
        <f>INDEX($A$35:$H$42,MATCH($L37,$B$35:$B$42,0),MATCH($BC$34,$A$35:$H$35,0))*고양시_Modal_split!D$3 * 0.01</f>
        <v>3.6864351797174781E-2</v>
      </c>
      <c r="BE37" s="207">
        <f>INDEX($A$35:$H$42,MATCH($L37,$B$35:$B$42,0),MATCH($BC$34,$A$35:$H$35,0))*고양시_Modal_split!E$3 * 0.01</f>
        <v>4.4600927434812771E-3</v>
      </c>
      <c r="BF37" s="207">
        <f>INDEX($A$35:$H$42,MATCH($L37,$B$35:$B$42,0),MATCH($BC$34,$A$35:$H$35,0))*고양시_Modal_split!F$3 * 0.01</f>
        <v>7.1878823300040974E-3</v>
      </c>
      <c r="BG37" s="207">
        <f>INDEX($A$35:$H$42,MATCH($L37,$B$35:$B$42,0),MATCH($BC$34,$A$35:$H$35,0))*고양시_Modal_split!G$3 * 0.01</f>
        <v>7.2113977574741214E-4</v>
      </c>
      <c r="BH37" s="207">
        <f>INDEX($A$35:$H$42,MATCH($L37,$B$35:$B$42,0),MATCH($BC$34,$A$35:$H$35,0))*고양시_Modal_split!H$3 * 0.01</f>
        <v>7.8384758233414369E-6</v>
      </c>
      <c r="BI37" s="207">
        <f>INDEX($A$35:$H$42,MATCH($L37,$B$35:$B$42,0),MATCH($BC$34,$A$35:$H$35,0))*고양시_Modal_split!I$3 * 0.01</f>
        <v>2.1790962788889195E-3</v>
      </c>
      <c r="BJ37" s="207">
        <f>INDEX($A$35:$H$42,MATCH($L37,$B$35:$B$42,0),MATCH($BC$34,$A$35:$H$35,0))*고양시_Modal_split!J$3 * 0.01</f>
        <v>2.3860320406251335E-2</v>
      </c>
      <c r="BK37" s="207">
        <f>INDEX($A$35:$H$42,MATCH($L37,$B$35:$B$42,0),MATCH($BC$34,$A$35:$H$35,0))*고양시_Modal_split!K$3 * 0.01</f>
        <v>1.1757713735012155E-4</v>
      </c>
      <c r="BL37" s="207">
        <f>INDEX($A$35:$H$42,MATCH($L37,$B$35:$B$42,0),MATCH($BC$34,$A$35:$H$35,0))*고양시_Modal_split!L$3 * 0.01</f>
        <v>2.3672196986491141E-3</v>
      </c>
      <c r="BM37" s="207">
        <f>INDEX($A$35:$H$42,MATCH($L37,$B$35:$B$42,0),MATCH($BC$34,$A$35:$H$35,0))*고양시_Modal_split!M$3 * 0.01</f>
        <v>1.8028494393685304E-4</v>
      </c>
      <c r="BN37" s="207">
        <f>INDEX($A$35:$H$42,MATCH($L37,$B$35:$B$42,0),MATCH($BC$34,$A$35:$H$35,0))*고양시_Modal_split!N$3 * 0.01</f>
        <v>7.8384758233414383E-5</v>
      </c>
      <c r="BO37" s="207">
        <f>INDEX($A$35:$H$42,MATCH($L37,$B$35:$B$42,0),MATCH($BC$34,$A$35:$H$35,0))*고양시_Modal_split!O$3 * 0.01</f>
        <v>1.4109256482014586E-4</v>
      </c>
      <c r="BP37" s="207">
        <f>INDEX($A$35:$H$42,MATCH($L37,$B$35:$B$42,0),MATCH($BC$34,$A$35:$H$35,0))*고양시_Modal_split!P$3 * 0.01</f>
        <v>7.838475823341437E-2</v>
      </c>
      <c r="BQ37" s="207">
        <f>INDEX($A$35:$H$42,MATCH($L37,$B$35:$B$42,0),MATCH($BQ$34,$A$35:$H$35,0))*고양시_Modal_split!C$3 * 0.01</f>
        <v>6.2185241531841843E-4</v>
      </c>
      <c r="BR37" s="207">
        <f>INDEX($A$35:$H$42,MATCH($L37,$B$35:$B$42,0),MATCH($BQ$34,$A$35:$H$35,0))*고양시_Modal_split!D$3 * 0.01</f>
        <v>0.10444899675866152</v>
      </c>
      <c r="BS37" s="207">
        <f>INDEX($A$35:$H$42,MATCH($L37,$B$35:$B$42,0),MATCH($BQ$34,$A$35:$H$35,0))*고양시_Modal_split!E$3 * 0.01</f>
        <v>1.2636929439863576E-2</v>
      </c>
      <c r="BT37" s="207">
        <f>INDEX($A$35:$H$42,MATCH($L37,$B$35:$B$42,0),MATCH($BQ$34,$A$35:$H$35,0))*고양시_Modal_split!F$3 * 0.01</f>
        <v>2.0365666601678205E-2</v>
      </c>
      <c r="BU37" s="207">
        <f>INDEX($A$35:$H$42,MATCH($L37,$B$35:$B$42,0),MATCH($BQ$34,$A$35:$H$35,0))*고양시_Modal_split!G$3 * 0.01</f>
        <v>2.0432293646176604E-3</v>
      </c>
      <c r="BV37" s="207">
        <f>INDEX($A$35:$H$42,MATCH($L37,$B$35:$B$42,0),MATCH($BQ$34,$A$35:$H$35,0))*고양시_Modal_split!H$3 * 0.01</f>
        <v>2.2209014832800661E-5</v>
      </c>
      <c r="BW37" s="207">
        <f>INDEX($A$35:$H$42,MATCH($L37,$B$35:$B$42,0),MATCH($BQ$34,$A$35:$H$35,0))*고양시_Modal_split!I$3 * 0.01</f>
        <v>6.1741061235185838E-3</v>
      </c>
      <c r="BX37" s="207">
        <f>INDEX($A$35:$H$42,MATCH($L37,$B$35:$B$42,0),MATCH($BQ$34,$A$35:$H$35,0))*고양시_Modal_split!J$3 * 0.01</f>
        <v>6.7604241151045227E-2</v>
      </c>
      <c r="BY37" s="207">
        <f>INDEX($A$35:$H$42,MATCH($L37,$B$35:$B$42,0),MATCH($BQ$34,$A$35:$H$35,0))*고양시_Modal_split!K$3 * 0.01</f>
        <v>3.3313522249200992E-4</v>
      </c>
      <c r="BZ37" s="207">
        <f>INDEX($A$35:$H$42,MATCH($L37,$B$35:$B$42,0),MATCH($BQ$34,$A$35:$H$35,0))*고양시_Modal_split!L$3 * 0.01</f>
        <v>6.707122479505799E-3</v>
      </c>
      <c r="CA37" s="207">
        <f>INDEX($A$35:$H$42,MATCH($L37,$B$35:$B$42,0),MATCH($BQ$34,$A$35:$H$35,0))*고양시_Modal_split!M$3 * 0.01</f>
        <v>5.1080734115441511E-4</v>
      </c>
      <c r="CB37" s="207">
        <f>INDEX($A$35:$H$42,MATCH($L37,$B$35:$B$42,0),MATCH($BQ$34,$A$35:$H$35,0))*고양시_Modal_split!N$3 * 0.01</f>
        <v>2.2209014832800663E-4</v>
      </c>
      <c r="CC37" s="207">
        <f>INDEX($A$35:$H$42,MATCH($L37,$B$35:$B$42,0),MATCH($BQ$34,$A$35:$H$35,0))*고양시_Modal_split!O$3 * 0.01</f>
        <v>3.9976226699041189E-4</v>
      </c>
      <c r="CD37" s="207">
        <f>INDEX($A$35:$H$42,MATCH($L37,$B$35:$B$42,0),MATCH($BQ$34,$A$35:$H$35,0))*고양시_Modal_split!P$3 * 0.01</f>
        <v>0.22209014832800664</v>
      </c>
      <c r="CE37" s="304">
        <f t="shared" ref="CE37:CE42" si="10">M37+AA37+AO37+BC37+BQ37</f>
        <v>2.1424461787642457</v>
      </c>
      <c r="CF37" s="304">
        <f t="shared" si="5"/>
        <v>359.85444209743747</v>
      </c>
      <c r="CG37" s="304">
        <f t="shared" si="5"/>
        <v>43.537566989887701</v>
      </c>
      <c r="CH37" s="304">
        <f t="shared" si="5"/>
        <v>70.165112354529043</v>
      </c>
      <c r="CI37" s="304">
        <f t="shared" si="5"/>
        <v>7.0394660159396638</v>
      </c>
      <c r="CJ37" s="304">
        <f t="shared" si="5"/>
        <v>7.6515934955865908E-2</v>
      </c>
      <c r="CK37" s="304">
        <f t="shared" si="5"/>
        <v>21.271429917730732</v>
      </c>
      <c r="CL37" s="304">
        <f t="shared" si="5"/>
        <v>232.91450600565591</v>
      </c>
      <c r="CM37" s="304">
        <f t="shared" si="5"/>
        <v>1.1477390243379888</v>
      </c>
      <c r="CN37" s="304">
        <f t="shared" si="5"/>
        <v>23.107812356671509</v>
      </c>
      <c r="CO37" s="304">
        <f t="shared" si="5"/>
        <v>1.759866503984916</v>
      </c>
      <c r="CP37" s="304">
        <f t="shared" si="5"/>
        <v>0.76515934955865927</v>
      </c>
      <c r="CQ37" s="304">
        <f t="shared" si="5"/>
        <v>1.3772868292055866</v>
      </c>
      <c r="CR37" s="304">
        <f t="shared" si="5"/>
        <v>765.15934955865919</v>
      </c>
      <c r="CS37" s="305">
        <f t="shared" ref="CS37:CS42" si="11">H37-CR37</f>
        <v>0</v>
      </c>
      <c r="CV37" s="265"/>
      <c r="CW37" s="265" t="s">
        <v>712</v>
      </c>
      <c r="CX37" s="267">
        <f>INDEX($M$34:$Z$42,MATCH($CW37,$L$34:$L$42,0),MATCH(CX$35,$M$35:$Z$35,0))/INDEX(고양시_재차인원!$D$4:$H$35,MATCH("고양시",고양시_재차인원!$B$4:$B$35,0),MATCH($CX$34,고양시_재차인원!$D$4:$H$4,0))</f>
        <v>35.213136039593039</v>
      </c>
      <c r="CY37" s="267">
        <f>INDEX($M$34:$Z$42,MATCH($CW37,$L$34:$L$42,0),MATCH(CY$35,$M$35:$Z$35,0))/INDEX(고양시_재차인원!$K$4:$O$20,MATCH("경기도",고양시_재차인원!$K$4:$K$20,0),MATCH(CY$35,고양시_재차인원!$K$4:$O$4,0))</f>
        <v>2.9127692665293942E-4</v>
      </c>
      <c r="CZ37" s="267">
        <f>INDEX($M$34:$Z$42,MATCH($CW37,$L$34:$L$42,0),MATCH(CZ$35,$M$35:$Z$35,0))/INDEX(고양시_재차인원!$K$4:$O$20,MATCH("경기도",고양시_재차인원!$K$4:$K$20,0),MATCH(CZ$35,고양시_재차인원!$K$4:$O$4,0))</f>
        <v>8.0974985609517144E-2</v>
      </c>
      <c r="DA37" s="267">
        <f>INDEX($M$34:$Z$42,MATCH($CW37,$L$34:$L$42,0),MATCH(DA$35,$M$35:$Z$35,0))/INDEX(고양시_재차인원!$D$4:$H$35,MATCH("고양시",고양시_재차인원!$B$4:$B$35,0),MATCH($CX$34,고양시_재차인원!$D$4:$H$4,0))</f>
        <v>2.2611879829804584</v>
      </c>
      <c r="DB37" s="267">
        <f>INDEX($AA$34:$AN$42,MATCH($CW37,$L$34:$L$42,0),MATCH(DB$35,$AA$35:$AN$35,0))/INDEX(고양시_재차인원!$D$4:$H$35,MATCH("고양시",고양시_재차인원!$B$4:$B$35,0),MATCH($DB$34,고양시_재차인원!$D$4:$H$4,0))</f>
        <v>217.50403309172287</v>
      </c>
      <c r="DC37" s="267">
        <f>INDEX($AA$34:$AN$42,MATCH($CW37,$L$34:$L$42,0),MATCH(DC$35,$AA$35:$AN$35,0))/INDEX(고양시_재차인원!$K$4:$O$20,MATCH("경기도",고양시_재차인원!$K$4:$K$20,0),MATCH(DC$35,고양시_재차인원!$K$4:$O$4,0))</f>
        <v>2.2650082246271105E-3</v>
      </c>
      <c r="DD37" s="267">
        <f>INDEX($AA$34:$AN$42,MATCH($CW37,$L$34:$L$42,0),MATCH(DD$35,$AA$35:$AN$35,0))/INDEX(고양시_재차인원!$K$4:$O$20,MATCH("경기도",고양시_재차인원!$K$4:$K$20,0),MATCH(DD$35,고양시_재차인원!$K$4:$O$4,0))</f>
        <v>0.62967228644633666</v>
      </c>
      <c r="DE37" s="267">
        <f>INDEX($AA$34:$AN$42,MATCH($CW37,$L$34:$L$42,0),MATCH(DE$35,$AA$35:$AN$35,0))/INDEX(고양시_재차인원!$D$4:$H$35,MATCH("고양시",고양시_재차인원!$B$4:$B$35,0),MATCH($DB$34,고양시_재차인원!$D$4:$H$4,0))</f>
        <v>13.966876035232897</v>
      </c>
      <c r="DF37" s="267">
        <f>INDEX($AO$34:$BB$42,MATCH($CW37,$L$34:$L$42,0),MATCH(DF$35,$AO$35:$BB$35,0))/INDEX(고양시_재차인원!$D$4:$H$35,MATCH("고양시",고양시_재차인원!$B$4:$B$35,0),MATCH($DF$34,고양시_재차인원!$D$4:$H$4,0))</f>
        <v>10.456715173237052</v>
      </c>
      <c r="DG37" s="267">
        <f>INDEX($AO$34:$BB$42,MATCH($CW37,$L$34:$L$42,0),MATCH(DG$35,$AO$35:$BB$35,0))/INDEX(고양시_재차인원!$K$4:$O$20,MATCH("경기도",고양시_재차인원!$K$4:$K$20,0),MATCH(DG$35,고양시_재차인원!$K$4:$O$4,0))</f>
        <v>1.0039728933161335E-4</v>
      </c>
      <c r="DH37" s="267">
        <f>INDEX($AO$34:$BB$42,MATCH($CW37,$L$34:$L$42,0),MATCH(DH$35,$AO$35:$BB$35,0))/INDEX(고양시_재차인원!$K$4:$O$20,MATCH("경기도",고양시_재차인원!$K$4:$K$20,0),MATCH(DH$35,고양시_재차인원!$K$4:$O$4,0))</f>
        <v>2.791044643418851E-2</v>
      </c>
      <c r="DI37" s="267">
        <f>INDEX($AO$34:$BB$42,MATCH($CW37,$L$34:$L$42,0),MATCH(DI$35,$AO$35:$BB$35,0))/INDEX(고양시_재차인원!$D$4:$H$35,MATCH("고양시",고양시_재차인원!$B$4:$B$35,0),MATCH($DF$34,고양시_재차인원!$D$4:$H$4,0))</f>
        <v>0.67147097221296825</v>
      </c>
      <c r="DJ37" s="267">
        <f>INDEX($BC$34:$BP$42,MATCH($CW37,$L$34:$L$42,0),MATCH(DJ$35,$BC$35:$BP$35,0))/INDEX(고양시_재차인원!$D$4:$H$35,MATCH("고양시",고양시_재차인원!$B$4:$B$35,0),MATCH($DJ$34,고양시_재차인원!$D$4:$H$4,0))</f>
        <v>2.7106141027334395E-2</v>
      </c>
      <c r="DK37" s="267">
        <f>INDEX($BC$34:$BP$42,MATCH($CW37,$L$34:$L$42,0),MATCH(DK$35,$BC$35:$BP$35,0))/INDEX(고양시_재차인원!$K$4:$O$20,MATCH("경기도",고양시_재차인원!$K$4:$K$20,0),MATCH(DK$35,고양시_재차인원!$K$4:$O$4,0))</f>
        <v>2.7226383547556227E-7</v>
      </c>
      <c r="DL37" s="267">
        <f>INDEX($BC$34:$BP$42,MATCH($CW37,$L$34:$L$42,0),MATCH(DL$35,$BC$35:$BP$35,0))/INDEX(고양시_재차인원!$K$4:$O$20,MATCH("경기도",고양시_재차인원!$K$4:$K$20,0),MATCH(DL$35,고양시_재차인원!$K$4:$O$4,0))</f>
        <v>7.5689346262206313E-5</v>
      </c>
      <c r="DM37" s="267">
        <f>INDEX($BC$34:$BP$42,MATCH($CW37,$L$34:$L$42,0),MATCH(DM$35,$BC$35:$BP$35,0))/INDEX(고양시_재차인원!$D$4:$H$35,MATCH("고양시",고양시_재차인원!$B$4:$B$35,0),MATCH($DJ$34,고양시_재차인원!$D$4:$H$4,0))</f>
        <v>1.7406027195949368E-3</v>
      </c>
      <c r="DN37" s="267">
        <f>INDEX($BQ$34:$CD$42,MATCH($CW37,$L$34:$L$42,0),MATCH(DN$35,$BQ$35:$CD$35,0))/INDEX(고양시_재차인원!$D$4:$H$35,MATCH("고양시",고양시_재차인원!$B$4:$B$35,0),MATCH($DN$34,고양시_재차인원!$D$4:$H$4,0))</f>
        <v>8.2896029173540886E-2</v>
      </c>
      <c r="DO37" s="267">
        <f>INDEX($BQ$34:$CD$42,MATCH($CW37,$L$34:$L$42,0),MATCH(DO$35,$BQ$35:$CD$35,0))/INDEX(고양시_재차인원!$K$4:$O$20,MATCH("경기도",고양시_재차인원!$K$4:$K$20,0),MATCH(DO$35,고양시_재차인원!$K$4:$O$4,0))</f>
        <v>7.7141420051409033E-7</v>
      </c>
      <c r="DP37" s="267">
        <f>INDEX($BQ$34:$CD$42,MATCH($CW37,$L$34:$L$42,0),MATCH(DP$35,$BQ$35:$CD$35,0))/INDEX(고양시_재차인원!$K$4:$O$20,MATCH("경기도",고양시_재차인원!$K$4:$K$20,0),MATCH(DP$35,고양시_재차인원!$K$4:$O$4,0))</f>
        <v>2.1445314774291713E-4</v>
      </c>
      <c r="DQ37" s="267">
        <f>INDEX($BQ$34:$CD$42,MATCH($CW37,$L$34:$L$42,0),MATCH(DQ$35,$BQ$35:$CD$35,0))/INDEX(고양시_재차인원!$D$4:$H$35,MATCH("고양시",고양시_재차인원!$B$4:$B$35,0),MATCH($DN$34,고양시_재차인원!$D$4:$H$4,0))</f>
        <v>5.323113078972856E-3</v>
      </c>
      <c r="DR37" s="270">
        <f t="shared" ref="DR37:DR42" si="12">CX37+DB37+DF37+DJ37+DN37</f>
        <v>263.28388647475384</v>
      </c>
      <c r="DS37" s="270">
        <f t="shared" si="6"/>
        <v>2.6577261186476529E-3</v>
      </c>
      <c r="DT37" s="270">
        <f t="shared" si="6"/>
        <v>0.73884786098404742</v>
      </c>
      <c r="DU37" s="270">
        <f t="shared" si="6"/>
        <v>16.906598706224891</v>
      </c>
      <c r="DW37" s="278"/>
      <c r="DX37" s="278" t="s">
        <v>712</v>
      </c>
      <c r="DY37" s="281">
        <f t="shared" ref="DY37:DY42" si="13">DR37+DU37</f>
        <v>280.19048518097873</v>
      </c>
      <c r="DZ37" s="281">
        <f t="shared" ref="DZ37:DZ42" si="14">DS37+DT37</f>
        <v>0.7415055871026951</v>
      </c>
      <c r="EB37" s="278"/>
      <c r="EC37" s="278" t="s">
        <v>667</v>
      </c>
      <c r="ED37" s="281">
        <f t="shared" ref="ED37:ED42" si="15">DY37</f>
        <v>280.19048518097873</v>
      </c>
      <c r="EE37" s="281">
        <f t="shared" si="7"/>
        <v>0.7415055871026951</v>
      </c>
    </row>
    <row r="38" spans="1:157" ht="37.5">
      <c r="A38" s="205" t="s">
        <v>700</v>
      </c>
      <c r="B38" s="205" t="s">
        <v>715</v>
      </c>
      <c r="C38" s="400">
        <f>$D10*KTDB_TripDistribution_2045!L$12 * (1+KTDB_발생량도착량_증가율!$C$8) * (1+KTDB_발생량도착량_증가율!$D$7*5) * (1+KTDB_발생량도착량_증가율!$E$7*5) * (1+KTDB_발생량도착량_증가율!$F$7*5) * (1+KTDB_발생량도착량_증가율!$G$7*5)</f>
        <v>16.075463330635969</v>
      </c>
      <c r="D38" s="400">
        <f>$D10*KTDB_TripDistribution_2045!M$12 * (1+KTDB_발생량도착량_증가율!$C$8) * (1+KTDB_발생량도착량_증가율!$D$7*5) * (1+KTDB_발생량도착량_증가율!$E$7*5) * (1+KTDB_발생량도착량_증가율!$F$7*5) * (1+KTDB_발생량도착량_증가율!$G$7*5)</f>
        <v>125.00494658804976</v>
      </c>
      <c r="E38" s="400">
        <f>$D10*KTDB_TripDistribution_2045!N$12 * (1+KTDB_발생량도착량_증가율!$C$8) * (1+KTDB_발생량도착량_증가율!$D$7*5) * (1+KTDB_발생량도착량_증가율!$E$7*5) * (1+KTDB_발생량도착량_증가율!$F$7*5) * (1+KTDB_발생량도착량_증가율!$G$7*5)</f>
        <v>5.5408883967957534</v>
      </c>
      <c r="F38" s="400">
        <f>$D10*KTDB_TripDistribution_2045!O$12 * (1+KTDB_발생량도착량_증가율!$C$8) * (1+KTDB_발생량도착량_증가율!$D$7*5) * (1+KTDB_발생량도착량_증가율!$E$7*5) * (1+KTDB_발생량도착량_증가율!$F$7*5) * (1+KTDB_발생량도착량_증가율!$G$7*5)</f>
        <v>1.5026138025208859E-2</v>
      </c>
      <c r="G38" s="400">
        <f>$D10*KTDB_TripDistribution_2045!P$12 * (1+KTDB_발생량도착량_증가율!$C$8) * (1+KTDB_발생량도착량_증가율!$D$7*5) * (1+KTDB_발생량도착량_증가율!$E$7*5) * (1+KTDB_발생량도착량_증가율!$F$7*5) * (1+KTDB_발생량도착량_증가율!$G$7*5)</f>
        <v>4.2574057738091621E-2</v>
      </c>
      <c r="H38" s="400">
        <f>$D10*KTDB_TripDistribution_2045!Q$12 * (1+KTDB_발생량도착량_증가율!$C$8) * (1+KTDB_발생량도착량_증가율!$D$7*5) * (1+KTDB_발생량도착량_증가율!$E$7*5) * (1+KTDB_발생량도착량_증가율!$F$7*5) * (1+KTDB_발생량도착량_증가율!$G$7*5)</f>
        <v>146.6788985112448</v>
      </c>
      <c r="J38" s="230">
        <f t="shared" si="4"/>
        <v>146.6788985112448</v>
      </c>
      <c r="K38" s="206"/>
      <c r="L38" s="206" t="s">
        <v>714</v>
      </c>
      <c r="M38" s="206">
        <f>INDEX($A$35:$H$42,MATCH($L38,$B$35:$B$42,0),MATCH($M$34,$A$35:$H$35,0))*고양시_Modal_split!C$3 * 0.01</f>
        <v>4.5011297325780707E-2</v>
      </c>
      <c r="N38" s="206">
        <f>INDEX($A$35:$H$42,MATCH($L38,$B$35:$B$42,0),MATCH($M$34,$A$35:$H$35,0))*고양시_Modal_split!D$3 * 0.01</f>
        <v>7.5602904043980974</v>
      </c>
      <c r="O38" s="206">
        <f>INDEX($A$35:$H$42,MATCH($L38,$B$35:$B$42,0),MATCH($M$34,$A$35:$H$35,0))*고양시_Modal_split!E$3 * 0.01</f>
        <v>0.9146938635131866</v>
      </c>
      <c r="P38" s="206">
        <f>INDEX($A$35:$H$42,MATCH($L38,$B$35:$B$42,0),MATCH($M$34,$A$35:$H$35,0))*고양시_Modal_split!F$3 * 0.01</f>
        <v>1.4741199874193183</v>
      </c>
      <c r="Q38" s="206">
        <f>INDEX($A$35:$H$42,MATCH($L38,$B$35:$B$42,0),MATCH($M$34,$A$35:$H$35,0))*고양시_Modal_split!G$3 * 0.01</f>
        <v>0.1478942626418509</v>
      </c>
      <c r="R38" s="206">
        <f>INDEX($A$35:$H$42,MATCH($L38,$B$35:$B$42,0),MATCH($M$34,$A$35:$H$35,0))*고양시_Modal_split!H$3 * 0.01</f>
        <v>1.6075463330635969E-3</v>
      </c>
      <c r="S38" s="206">
        <f>INDEX($A$35:$H$42,MATCH($L38,$B$35:$B$42,0),MATCH($M$34,$A$35:$H$35,0))*고양시_Modal_split!I$3 * 0.01</f>
        <v>0.44689788059167995</v>
      </c>
      <c r="T38" s="206">
        <f>INDEX($A$35:$H$42,MATCH($L38,$B$35:$B$42,0),MATCH($M$34,$A$35:$H$35,0))*고양시_Modal_split!J$3 * 0.01</f>
        <v>4.893371037845589</v>
      </c>
      <c r="U38" s="206">
        <f>INDEX($A$35:$H$42,MATCH($L38,$B$35:$B$42,0),MATCH($M$34,$A$35:$H$35,0))*고양시_Modal_split!K$3 * 0.01</f>
        <v>2.4113194995953956E-2</v>
      </c>
      <c r="V38" s="206">
        <f>INDEX($A$35:$H$42,MATCH($L38,$B$35:$B$42,0),MATCH($M$34,$A$35:$H$35,0))*고양시_Modal_split!L$3 * 0.01</f>
        <v>0.48547899258520633</v>
      </c>
      <c r="W38" s="206">
        <f>INDEX($A$35:$H$42,MATCH($L38,$B$35:$B$42,0),MATCH($M$34,$A$35:$H$35,0))*고양시_Modal_split!M$3 * 0.01</f>
        <v>3.6973565660462726E-2</v>
      </c>
      <c r="X38" s="206">
        <f>INDEX($A$35:$H$42,MATCH($L38,$B$35:$B$42,0),MATCH($M$34,$A$35:$H$35,0))*고양시_Modal_split!N$3 * 0.01</f>
        <v>1.6075463330635972E-2</v>
      </c>
      <c r="Y38" s="206">
        <f>INDEX($A$35:$H$42,MATCH($L38,$B$35:$B$42,0),MATCH($M$34,$A$35:$H$35,0))*고양시_Modal_split!O$3 * 0.01</f>
        <v>2.8935833995144745E-2</v>
      </c>
      <c r="Z38" s="209">
        <f>INDEX($A$35:$H$42,MATCH($L38,$B$35:$B$42,0),MATCH($M$34,$A$35:$H$35,0))*고양시_Modal_split!P$3 * 0.01</f>
        <v>16.075463330635969</v>
      </c>
      <c r="AA38" s="207">
        <f>INDEX($A$35:$H$42,MATCH($L38,$B$35:$B$42,0),MATCH($AA$34,$A$35:$H$35,0))*고양시_Modal_split!C$3 * 0.01</f>
        <v>0.35001385044653932</v>
      </c>
      <c r="AB38" s="207">
        <f>INDEX($A$35:$H$42,MATCH($L38,$B$35:$B$42,0),MATCH($AA$34,$A$35:$H$35,0))*고양시_Modal_split!D$3 * 0.01</f>
        <v>58.789826380359798</v>
      </c>
      <c r="AC38" s="207">
        <f>INDEX($A$35:$H$42,MATCH($L38,$B$35:$B$42,0),MATCH($AA$34,$A$35:$H$35,0))*고양시_Modal_split!E$3 * 0.01</f>
        <v>7.112781460860031</v>
      </c>
      <c r="AD38" s="207">
        <f>INDEX($A$35:$H$42,MATCH($L38,$B$35:$B$42,0),MATCH($AA$34,$A$35:$H$35,0))*고양시_Modal_split!F$3 * 0.01</f>
        <v>11.462953602124163</v>
      </c>
      <c r="AE38" s="207">
        <f>INDEX($A$35:$H$42,MATCH($L38,$B$35:$B$42,0),MATCH($AA$34,$A$35:$H$35,0))*고양시_Modal_split!G$3 * 0.01</f>
        <v>1.1500455086100576</v>
      </c>
      <c r="AF38" s="207">
        <f>INDEX($A$35:$H$42,MATCH($L38,$B$35:$B$42,0),MATCH($AA$34,$A$35:$H$35,0))*고양시_Modal_split!H$3 * 0.01</f>
        <v>1.2500494658804977E-2</v>
      </c>
      <c r="AG38" s="207">
        <f>INDEX($A$35:$H$42,MATCH($L38,$B$35:$B$42,0),MATCH($AA$34,$A$35:$H$35,0))*고양시_Modal_split!I$3 * 0.01</f>
        <v>3.4751375151477832</v>
      </c>
      <c r="AH38" s="207">
        <f>INDEX($A$35:$H$42,MATCH($L38,$B$35:$B$42,0),MATCH($AA$34,$A$35:$H$35,0))*고양시_Modal_split!J$3 * 0.01</f>
        <v>38.051505741402352</v>
      </c>
      <c r="AI38" s="207">
        <f>INDEX($A$35:$H$42,MATCH($L38,$B$35:$B$42,0),MATCH($AA$34,$A$35:$H$35,0))*고양시_Modal_split!K$3 * 0.01</f>
        <v>0.18750741988207462</v>
      </c>
      <c r="AJ38" s="207">
        <f>INDEX($A$35:$H$42,MATCH($L38,$B$35:$B$42,0),MATCH($AA$34,$A$35:$H$35,0))*고양시_Modal_split!L$3 * 0.01</f>
        <v>3.7751493869591033</v>
      </c>
      <c r="AK38" s="207">
        <f>INDEX($A$35:$H$42,MATCH($L38,$B$35:$B$42,0),MATCH($AA$34,$A$35:$H$35,0))*고양시_Modal_split!M$3 * 0.01</f>
        <v>0.2875113771525144</v>
      </c>
      <c r="AL38" s="207">
        <f>INDEX($A$35:$H$42,MATCH($L38,$B$35:$B$42,0),MATCH($AA$34,$A$35:$H$35,0))*고양시_Modal_split!N$3 * 0.01</f>
        <v>0.12500494658804978</v>
      </c>
      <c r="AM38" s="207">
        <f>INDEX($A$35:$H$42,MATCH($L38,$B$35:$B$42,0),MATCH($AA$34,$A$35:$H$35,0))*고양시_Modal_split!O$3 * 0.01</f>
        <v>0.22500890385848954</v>
      </c>
      <c r="AN38" s="207">
        <f>INDEX($A$35:$H$42,MATCH($L38,$B$35:$B$42,0),MATCH($AA$34,$A$35:$H$35,0))*고양시_Modal_split!P$3 * 0.01</f>
        <v>125.00494658804978</v>
      </c>
      <c r="AO38" s="303">
        <f>INDEX($A$35:$H$42,MATCH($L38,$B$35:$B$42,0),MATCH($AO$34,$A$35:$H$35,0))*고양시_Modal_split!C$3 * 0.01</f>
        <v>1.5514487511028107E-2</v>
      </c>
      <c r="AP38" s="303">
        <f>INDEX($A$35:$H$42,MATCH($L38,$B$35:$B$42,0),MATCH($AO$34,$A$35:$H$35,0))*고양시_Modal_split!D$3 * 0.01</f>
        <v>2.6058798130130429</v>
      </c>
      <c r="AQ38" s="303">
        <f>INDEX($A$35:$H$42,MATCH($L38,$B$35:$B$42,0),MATCH($AO$34,$A$35:$H$35,0))*고양시_Modal_split!E$3 * 0.01</f>
        <v>0.31527654977767833</v>
      </c>
      <c r="AR38" s="303">
        <f>INDEX($A$35:$H$42,MATCH($L38,$B$35:$B$42,0),MATCH($AO$34,$A$35:$H$35,0))*고양시_Modal_split!F$3 * 0.01</f>
        <v>0.50809946598617062</v>
      </c>
      <c r="AS38" s="303">
        <f>INDEX($A$35:$H$42,MATCH($L38,$B$35:$B$42,0),MATCH($AO$34,$A$35:$H$35,0))*고양시_Modal_split!G$3 * 0.01</f>
        <v>5.0976173250520923E-2</v>
      </c>
      <c r="AT38" s="303">
        <f>INDEX($A$35:$H$42,MATCH($L38,$B$35:$B$42,0),MATCH($AO$34,$A$35:$H$35,0))*고양시_Modal_split!H$3 * 0.01</f>
        <v>5.5408883967957533E-4</v>
      </c>
      <c r="AU38" s="303">
        <f>INDEX($A$35:$H$42,MATCH($L38,$B$35:$B$42,0),MATCH($AO$34,$A$35:$H$35,0))*고양시_Modal_split!I$3 * 0.01</f>
        <v>0.15403669743092194</v>
      </c>
      <c r="AV38" s="303">
        <f>INDEX($A$35:$H$42,MATCH($L38,$B$35:$B$42,0),MATCH($AO$34,$A$35:$H$35,0))*고양시_Modal_split!J$3 * 0.01</f>
        <v>1.6866464279846276</v>
      </c>
      <c r="AW38" s="303">
        <f>INDEX($A$35:$H$42,MATCH($L38,$B$35:$B$42,0),MATCH($AO$34,$A$35:$H$35,0))*고양시_Modal_split!K$3 * 0.01</f>
        <v>8.3113325951936299E-3</v>
      </c>
      <c r="AX38" s="303">
        <f>INDEX($A$35:$H$42,MATCH($L38,$B$35:$B$42,0),MATCH($AO$34,$A$35:$H$35,0))*고양시_Modal_split!L$3 * 0.01</f>
        <v>0.16733482958323176</v>
      </c>
      <c r="AY38" s="303">
        <f>INDEX($A$35:$H$42,MATCH($L38,$B$35:$B$42,0),MATCH($AO$34,$A$35:$H$35,0))*고양시_Modal_split!M$3 * 0.01</f>
        <v>1.2744043312630231E-2</v>
      </c>
      <c r="AZ38" s="303">
        <f>INDEX($A$35:$H$42,MATCH($L38,$B$35:$B$42,0),MATCH($AO$34,$A$35:$H$35,0))*고양시_Modal_split!N$3 * 0.01</f>
        <v>5.5408883967957533E-3</v>
      </c>
      <c r="BA38" s="207">
        <f>INDEX($A$35:$H$42,MATCH($L38,$B$35:$B$42,0),MATCH($AO$34,$A$35:$H$35,0))*고양시_Modal_split!O$3 * 0.01</f>
        <v>9.9735991142323559E-3</v>
      </c>
      <c r="BB38" s="207">
        <f>INDEX($A$35:$H$42,MATCH($L38,$B$35:$B$42,0),MATCH($AO$34,$A$35:$H$35,0))*고양시_Modal_split!P$3 * 0.01</f>
        <v>5.5408883967957534</v>
      </c>
      <c r="BC38" s="207">
        <f>INDEX($A$35:$H$42,MATCH($L38,$B$35:$B$42,0),MATCH($BC$34,$A$35:$H$35,0))*고양시_Modal_split!C$3 * 0.01</f>
        <v>4.2073186470584804E-5</v>
      </c>
      <c r="BD38" s="207">
        <f>INDEX($A$35:$H$42,MATCH($L38,$B$35:$B$42,0),MATCH($BC$34,$A$35:$H$35,0))*고양시_Modal_split!D$3 * 0.01</f>
        <v>7.0667927132557267E-3</v>
      </c>
      <c r="BE38" s="207">
        <f>INDEX($A$35:$H$42,MATCH($L38,$B$35:$B$42,0),MATCH($BC$34,$A$35:$H$35,0))*고양시_Modal_split!E$3 * 0.01</f>
        <v>8.5498725363438409E-4</v>
      </c>
      <c r="BF38" s="207">
        <f>INDEX($A$35:$H$42,MATCH($L38,$B$35:$B$42,0),MATCH($BC$34,$A$35:$H$35,0))*고양시_Modal_split!F$3 * 0.01</f>
        <v>1.3778968569116523E-3</v>
      </c>
      <c r="BG38" s="207">
        <f>INDEX($A$35:$H$42,MATCH($L38,$B$35:$B$42,0),MATCH($BC$34,$A$35:$H$35,0))*고양시_Modal_split!G$3 * 0.01</f>
        <v>1.382404698319215E-4</v>
      </c>
      <c r="BH38" s="207">
        <f>INDEX($A$35:$H$42,MATCH($L38,$B$35:$B$42,0),MATCH($BC$34,$A$35:$H$35,0))*고양시_Modal_split!H$3 * 0.01</f>
        <v>1.5026138025208858E-6</v>
      </c>
      <c r="BI38" s="207">
        <f>INDEX($A$35:$H$42,MATCH($L38,$B$35:$B$42,0),MATCH($BC$34,$A$35:$H$35,0))*고양시_Modal_split!I$3 * 0.01</f>
        <v>4.1772663710080629E-4</v>
      </c>
      <c r="BJ38" s="207">
        <f>INDEX($A$35:$H$42,MATCH($L38,$B$35:$B$42,0),MATCH($BC$34,$A$35:$H$35,0))*고양시_Modal_split!J$3 * 0.01</f>
        <v>4.573956414873577E-3</v>
      </c>
      <c r="BK38" s="207">
        <f>INDEX($A$35:$H$42,MATCH($L38,$B$35:$B$42,0),MATCH($BC$34,$A$35:$H$35,0))*고양시_Modal_split!K$3 * 0.01</f>
        <v>2.2539207037813287E-5</v>
      </c>
      <c r="BL38" s="207">
        <f>INDEX($A$35:$H$42,MATCH($L38,$B$35:$B$42,0),MATCH($BC$34,$A$35:$H$35,0))*고양시_Modal_split!L$3 * 0.01</f>
        <v>4.5378936836130756E-4</v>
      </c>
      <c r="BM38" s="207">
        <f>INDEX($A$35:$H$42,MATCH($L38,$B$35:$B$42,0),MATCH($BC$34,$A$35:$H$35,0))*고양시_Modal_split!M$3 * 0.01</f>
        <v>3.4560117457980375E-5</v>
      </c>
      <c r="BN38" s="207">
        <f>INDEX($A$35:$H$42,MATCH($L38,$B$35:$B$42,0),MATCH($BC$34,$A$35:$H$35,0))*고양시_Modal_split!N$3 * 0.01</f>
        <v>1.502613802520886E-5</v>
      </c>
      <c r="BO38" s="207">
        <f>INDEX($A$35:$H$42,MATCH($L38,$B$35:$B$42,0),MATCH($BC$34,$A$35:$H$35,0))*고양시_Modal_split!O$3 * 0.01</f>
        <v>2.7047048445375946E-5</v>
      </c>
      <c r="BP38" s="207">
        <f>INDEX($A$35:$H$42,MATCH($L38,$B$35:$B$42,0),MATCH($BC$34,$A$35:$H$35,0))*고양시_Modal_split!P$3 * 0.01</f>
        <v>1.5026138025208859E-2</v>
      </c>
      <c r="BQ38" s="207">
        <f>INDEX($A$35:$H$42,MATCH($L38,$B$35:$B$42,0),MATCH($BQ$34,$A$35:$H$35,0))*고양시_Modal_split!C$3 * 0.01</f>
        <v>1.1920736166665653E-4</v>
      </c>
      <c r="BR38" s="207">
        <f>INDEX($A$35:$H$42,MATCH($L38,$B$35:$B$42,0),MATCH($BQ$34,$A$35:$H$35,0))*고양시_Modal_split!D$3 * 0.01</f>
        <v>2.0022579354224492E-2</v>
      </c>
      <c r="BS38" s="207">
        <f>INDEX($A$35:$H$42,MATCH($L38,$B$35:$B$42,0),MATCH($BQ$34,$A$35:$H$35,0))*고양시_Modal_split!E$3 * 0.01</f>
        <v>2.4224638852974132E-3</v>
      </c>
      <c r="BT38" s="207">
        <f>INDEX($A$35:$H$42,MATCH($L38,$B$35:$B$42,0),MATCH($BQ$34,$A$35:$H$35,0))*고양시_Modal_split!F$3 * 0.01</f>
        <v>3.904041094583002E-3</v>
      </c>
      <c r="BU38" s="207">
        <f>INDEX($A$35:$H$42,MATCH($L38,$B$35:$B$42,0),MATCH($BQ$34,$A$35:$H$35,0))*고양시_Modal_split!G$3 * 0.01</f>
        <v>3.9168133119044292E-4</v>
      </c>
      <c r="BV38" s="207">
        <f>INDEX($A$35:$H$42,MATCH($L38,$B$35:$B$42,0),MATCH($BQ$34,$A$35:$H$35,0))*고양시_Modal_split!H$3 * 0.01</f>
        <v>4.2574057738091619E-6</v>
      </c>
      <c r="BW38" s="207">
        <f>INDEX($A$35:$H$42,MATCH($L38,$B$35:$B$42,0),MATCH($BQ$34,$A$35:$H$35,0))*고양시_Modal_split!I$3 * 0.01</f>
        <v>1.1835588051189471E-3</v>
      </c>
      <c r="BX38" s="207">
        <f>INDEX($A$35:$H$42,MATCH($L38,$B$35:$B$42,0),MATCH($BQ$34,$A$35:$H$35,0))*고양시_Modal_split!J$3 * 0.01</f>
        <v>1.295954317547509E-2</v>
      </c>
      <c r="BY38" s="207">
        <f>INDEX($A$35:$H$42,MATCH($L38,$B$35:$B$42,0),MATCH($BQ$34,$A$35:$H$35,0))*고양시_Modal_split!K$3 * 0.01</f>
        <v>6.3861086607137427E-5</v>
      </c>
      <c r="BZ38" s="207">
        <f>INDEX($A$35:$H$42,MATCH($L38,$B$35:$B$42,0),MATCH($BQ$34,$A$35:$H$35,0))*고양시_Modal_split!L$3 * 0.01</f>
        <v>1.285736543690367E-3</v>
      </c>
      <c r="CA38" s="207">
        <f>INDEX($A$35:$H$42,MATCH($L38,$B$35:$B$42,0),MATCH($BQ$34,$A$35:$H$35,0))*고양시_Modal_split!M$3 * 0.01</f>
        <v>9.7920332797610729E-5</v>
      </c>
      <c r="CB38" s="207">
        <f>INDEX($A$35:$H$42,MATCH($L38,$B$35:$B$42,0),MATCH($BQ$34,$A$35:$H$35,0))*고양시_Modal_split!N$3 * 0.01</f>
        <v>4.257405773809162E-5</v>
      </c>
      <c r="CC38" s="207">
        <f>INDEX($A$35:$H$42,MATCH($L38,$B$35:$B$42,0),MATCH($BQ$34,$A$35:$H$35,0))*고양시_Modal_split!O$3 * 0.01</f>
        <v>7.6633303928564915E-5</v>
      </c>
      <c r="CD38" s="207">
        <f>INDEX($A$35:$H$42,MATCH($L38,$B$35:$B$42,0),MATCH($BQ$34,$A$35:$H$35,0))*고양시_Modal_split!P$3 * 0.01</f>
        <v>4.2574057738091621E-2</v>
      </c>
      <c r="CE38" s="304">
        <f t="shared" si="10"/>
        <v>0.41070091583148538</v>
      </c>
      <c r="CF38" s="304">
        <f t="shared" si="5"/>
        <v>68.983085969838427</v>
      </c>
      <c r="CG38" s="304">
        <f t="shared" si="5"/>
        <v>8.3460293252898268</v>
      </c>
      <c r="CH38" s="304">
        <f t="shared" si="5"/>
        <v>13.450454993481145</v>
      </c>
      <c r="CI38" s="304">
        <f t="shared" si="5"/>
        <v>1.3494458663034519</v>
      </c>
      <c r="CJ38" s="304">
        <f t="shared" si="5"/>
        <v>1.466788985112448E-2</v>
      </c>
      <c r="CK38" s="304">
        <f t="shared" si="5"/>
        <v>4.0776733786126043</v>
      </c>
      <c r="CL38" s="304">
        <f t="shared" si="5"/>
        <v>44.649056706822918</v>
      </c>
      <c r="CM38" s="304">
        <f t="shared" si="5"/>
        <v>0.22001834776686716</v>
      </c>
      <c r="CN38" s="304">
        <f t="shared" si="5"/>
        <v>4.4297027350395926</v>
      </c>
      <c r="CO38" s="304">
        <f t="shared" si="5"/>
        <v>0.33736146657586297</v>
      </c>
      <c r="CP38" s="304">
        <f t="shared" si="5"/>
        <v>0.1466788985112448</v>
      </c>
      <c r="CQ38" s="304">
        <f t="shared" si="5"/>
        <v>0.26402201732024055</v>
      </c>
      <c r="CR38" s="304">
        <f t="shared" si="5"/>
        <v>146.6788985112448</v>
      </c>
      <c r="CS38" s="305">
        <f t="shared" si="11"/>
        <v>0</v>
      </c>
      <c r="CV38" s="265"/>
      <c r="CW38" s="265" t="s">
        <v>714</v>
      </c>
      <c r="CX38" s="267">
        <f>INDEX($M$34:$Z$42,MATCH($CW38,$L$34:$L$42,0),MATCH(CX$35,$M$35:$Z$35,0))/INDEX(고양시_재차인원!$D$4:$H$35,MATCH("고양시",고양시_재차인원!$B$4:$B$35,0),MATCH($CX$34,고양시_재차인원!$D$4:$H$4,0))</f>
        <v>6.750259289641158</v>
      </c>
      <c r="CY38" s="267">
        <f>INDEX($M$34:$Z$42,MATCH($CW38,$L$34:$L$42,0),MATCH(CY$35,$M$35:$Z$35,0))/INDEX(고양시_재차인원!$K$4:$O$20,MATCH("경기도",고양시_재차인원!$K$4:$K$20,0),MATCH(CY$35,고양시_재차인원!$K$4:$O$4,0))</f>
        <v>5.5836968845557382E-5</v>
      </c>
      <c r="CZ38" s="267">
        <f>INDEX($M$34:$Z$42,MATCH($CW38,$L$34:$L$42,0),MATCH(CZ$35,$M$35:$Z$35,0))/INDEX(고양시_재차인원!$K$4:$O$20,MATCH("경기도",고양시_재차인원!$K$4:$K$20,0),MATCH(CZ$35,고양시_재차인원!$K$4:$O$4,0))</f>
        <v>1.5522677339064952E-2</v>
      </c>
      <c r="DA38" s="267">
        <f>INDEX($M$34:$Z$42,MATCH($CW38,$L$34:$L$42,0),MATCH(DA$35,$M$35:$Z$35,0))/INDEX(고양시_재차인원!$D$4:$H$35,MATCH("고양시",고양시_재차인원!$B$4:$B$35,0),MATCH($CX$34,고양시_재차인원!$D$4:$H$4,0))</f>
        <v>0.43346338623679131</v>
      </c>
      <c r="DB38" s="267">
        <f>INDEX($AA$34:$AN$42,MATCH($CW38,$L$34:$L$42,0),MATCH(DB$35,$AA$35:$AN$35,0))/INDEX(고양시_재차인원!$D$4:$H$35,MATCH("고양시",고양시_재차인원!$B$4:$B$35,0),MATCH($DB$34,고양시_재차인원!$D$4:$H$4,0))</f>
        <v>41.694912326496315</v>
      </c>
      <c r="DC38" s="267">
        <f>INDEX($AA$34:$AN$42,MATCH($CW38,$L$34:$L$42,0),MATCH(DC$35,$AA$35:$AN$35,0))/INDEX(고양시_재차인원!$K$4:$O$20,MATCH("경기도",고양시_재차인원!$K$4:$K$20,0),MATCH(DC$35,고양시_재차인원!$K$4:$O$4,0))</f>
        <v>4.3419571583205895E-4</v>
      </c>
      <c r="DD38" s="267">
        <f>INDEX($AA$34:$AN$42,MATCH($CW38,$L$34:$L$42,0),MATCH(DD$35,$AA$35:$AN$35,0))/INDEX(고양시_재차인원!$K$4:$O$20,MATCH("경기도",고양시_재차인원!$K$4:$K$20,0),MATCH(DD$35,고양시_재차인원!$K$4:$O$4,0))</f>
        <v>0.12070640900131238</v>
      </c>
      <c r="DE38" s="267">
        <f>INDEX($AA$34:$AN$42,MATCH($CW38,$L$34:$L$42,0),MATCH(DE$35,$AA$35:$AN$35,0))/INDEX(고양시_재차인원!$D$4:$H$35,MATCH("고양시",고양시_재차인원!$B$4:$B$35,0),MATCH($DB$34,고양시_재차인원!$D$4:$H$4,0))</f>
        <v>2.6774109127369528</v>
      </c>
      <c r="DF38" s="267">
        <f>INDEX($AO$34:$BB$42,MATCH($CW38,$L$34:$L$42,0),MATCH(DF$35,$AO$35:$BB$35,0))/INDEX(고양시_재차인원!$D$4:$H$35,MATCH("고양시",고양시_재차인원!$B$4:$B$35,0),MATCH($DF$34,고양시_재차인원!$D$4:$H$4,0))</f>
        <v>2.0045229330869558</v>
      </c>
      <c r="DG38" s="267">
        <f>INDEX($AO$34:$BB$42,MATCH($CW38,$L$34:$L$42,0),MATCH(DG$35,$AO$35:$BB$35,0))/INDEX(고양시_재차인원!$K$4:$O$20,MATCH("경기도",고양시_재차인원!$K$4:$K$20,0),MATCH(DG$35,고양시_재차인원!$K$4:$O$4,0))</f>
        <v>1.9245878418880701E-5</v>
      </c>
      <c r="DH38" s="267">
        <f>INDEX($AO$34:$BB$42,MATCH($CW38,$L$34:$L$42,0),MATCH(DH$35,$AO$35:$BB$35,0))/INDEX(고양시_재차인원!$K$4:$O$20,MATCH("경기도",고양시_재차인원!$K$4:$K$20,0),MATCH(DH$35,고양시_재차인원!$K$4:$O$4,0))</f>
        <v>5.3503542004488345E-3</v>
      </c>
      <c r="DI38" s="267">
        <f>INDEX($AO$34:$BB$42,MATCH($CW38,$L$34:$L$42,0),MATCH(DI$35,$AO$35:$BB$35,0))/INDEX(고양시_재차인원!$D$4:$H$35,MATCH("고양시",고양시_재차인원!$B$4:$B$35,0),MATCH($DF$34,고양시_재차인원!$D$4:$H$4,0))</f>
        <v>0.12871909967940903</v>
      </c>
      <c r="DJ38" s="267">
        <f>INDEX($BC$34:$BP$42,MATCH($CW38,$L$34:$L$42,0),MATCH(DJ$35,$BC$35:$BP$35,0))/INDEX(고양시_재차인원!$D$4:$H$35,MATCH("고양시",고양시_재차인원!$B$4:$B$35,0),MATCH($DJ$34,고양시_재차인원!$D$4:$H$4,0))</f>
        <v>5.1961711126880337E-3</v>
      </c>
      <c r="DK38" s="267">
        <f>INDEX($BC$34:$BP$42,MATCH($CW38,$L$34:$L$42,0),MATCH(DK$35,$BC$35:$BP$35,0))/INDEX(고양시_재차인원!$K$4:$O$20,MATCH("경기도",고양시_재차인원!$K$4:$K$20,0),MATCH(DK$35,고양시_재차인원!$K$4:$O$4,0))</f>
        <v>5.2192212661371514E-8</v>
      </c>
      <c r="DL38" s="267">
        <f>INDEX($BC$34:$BP$42,MATCH($CW38,$L$34:$L$42,0),MATCH(DL$35,$BC$35:$BP$35,0))/INDEX(고양시_재차인원!$K$4:$O$20,MATCH("경기도",고양시_재차인원!$K$4:$K$20,0),MATCH(DL$35,고양시_재차인원!$K$4:$O$4,0))</f>
        <v>1.4509435119861282E-5</v>
      </c>
      <c r="DM38" s="267">
        <f>INDEX($BC$34:$BP$42,MATCH($CW38,$L$34:$L$42,0),MATCH(DM$35,$BC$35:$BP$35,0))/INDEX(고양시_재차인원!$D$4:$H$35,MATCH("고양시",고양시_재차인원!$B$4:$B$35,0),MATCH($DJ$34,고양시_재차인원!$D$4:$H$4,0))</f>
        <v>3.3366865320684378E-4</v>
      </c>
      <c r="DN38" s="267">
        <f>INDEX($BQ$34:$CD$42,MATCH($CW38,$L$34:$L$42,0),MATCH(DN$35,$BQ$35:$CD$35,0))/INDEX(고양시_재차인원!$D$4:$H$35,MATCH("고양시",고양시_재차인원!$B$4:$B$35,0),MATCH($DN$34,고양시_재차인원!$D$4:$H$4,0))</f>
        <v>1.5890935995416265E-2</v>
      </c>
      <c r="DO38" s="267">
        <f>INDEX($BQ$34:$CD$42,MATCH($CW38,$L$34:$L$42,0),MATCH(DO$35,$BQ$35:$CD$35,0))/INDEX(고양시_재차인원!$K$4:$O$20,MATCH("경기도",고양시_재차인원!$K$4:$K$20,0),MATCH(DO$35,고양시_재차인원!$K$4:$O$4,0))</f>
        <v>1.4787793587388545E-7</v>
      </c>
      <c r="DP38" s="267">
        <f>INDEX($BQ$34:$CD$42,MATCH($CW38,$L$34:$L$42,0),MATCH(DP$35,$BQ$35:$CD$35,0))/INDEX(고양시_재차인원!$K$4:$O$20,MATCH("경기도",고양시_재차인원!$K$4:$K$20,0),MATCH(DP$35,고양시_재차인원!$K$4:$O$4,0))</f>
        <v>4.1110066172940158E-5</v>
      </c>
      <c r="DQ38" s="267">
        <f>INDEX($BQ$34:$CD$42,MATCH($CW38,$L$34:$L$42,0),MATCH(DQ$35,$BQ$35:$CD$35,0))/INDEX(고양시_재차인원!$D$4:$H$35,MATCH("고양시",고양시_재차인원!$B$4:$B$35,0),MATCH($DN$34,고양시_재차인원!$D$4:$H$4,0))</f>
        <v>1.0204258283256881E-3</v>
      </c>
      <c r="DR38" s="270">
        <f t="shared" si="12"/>
        <v>50.470781656332527</v>
      </c>
      <c r="DS38" s="270">
        <f t="shared" si="6"/>
        <v>5.0947863324503221E-4</v>
      </c>
      <c r="DT38" s="270">
        <f t="shared" si="6"/>
        <v>0.14163506004211895</v>
      </c>
      <c r="DU38" s="270">
        <f t="shared" si="6"/>
        <v>3.2409474931346853</v>
      </c>
      <c r="DW38" s="278"/>
      <c r="DX38" s="278" t="s">
        <v>714</v>
      </c>
      <c r="DY38" s="281">
        <f t="shared" si="13"/>
        <v>53.71172914946721</v>
      </c>
      <c r="DZ38" s="281">
        <f t="shared" si="14"/>
        <v>0.14214453867536397</v>
      </c>
      <c r="EB38" s="278"/>
      <c r="EC38" s="278" t="s">
        <v>669</v>
      </c>
      <c r="ED38" s="281">
        <f t="shared" si="15"/>
        <v>53.71172914946721</v>
      </c>
      <c r="EE38" s="281">
        <f t="shared" si="7"/>
        <v>0.14214453867536397</v>
      </c>
    </row>
    <row r="39" spans="1:157" ht="37.5">
      <c r="A39" s="205" t="s">
        <v>702</v>
      </c>
      <c r="B39" s="205" t="s">
        <v>719</v>
      </c>
      <c r="C39" s="400">
        <f>$D11*KTDB_TripDistribution_2045!L$12 * (1+KTDB_발생량도착량_증가율!$C$8) * (1+KTDB_발생량도착량_증가율!$D$7*5) * (1+KTDB_발생량도착량_증가율!$E$7*5) * (1+KTDB_발생량도착량_증가율!$F$7*5) * (1+KTDB_발생량도착량_증가율!$G$7*5)</f>
        <v>0</v>
      </c>
      <c r="D39" s="400">
        <f>$D11*KTDB_TripDistribution_2045!M$12 * (1+KTDB_발생량도착량_증가율!$C$8) * (1+KTDB_발생량도착량_증가율!$D$7*5) * (1+KTDB_발생량도착량_증가율!$E$7*5) * (1+KTDB_발생량도착량_증가율!$F$7*5) * (1+KTDB_발생량도착량_증가율!$G$7*5)</f>
        <v>0</v>
      </c>
      <c r="E39" s="400">
        <f>$D11*KTDB_TripDistribution_2045!N$12 * (1+KTDB_발생량도착량_증가율!$C$8) * (1+KTDB_발생량도착량_증가율!$D$7*5) * (1+KTDB_발생량도착량_증가율!$E$7*5) * (1+KTDB_발생량도착량_증가율!$F$7*5) * (1+KTDB_발생량도착량_증가율!$G$7*5)</f>
        <v>0</v>
      </c>
      <c r="F39" s="400">
        <f>$D11*KTDB_TripDistribution_2045!O$12 * (1+KTDB_발생량도착량_증가율!$C$8) * (1+KTDB_발생량도착량_증가율!$D$7*5) * (1+KTDB_발생량도착량_증가율!$E$7*5) * (1+KTDB_발생량도착량_증가율!$F$7*5) * (1+KTDB_발생량도착량_증가율!$G$7*5)</f>
        <v>0</v>
      </c>
      <c r="G39" s="400">
        <f>$D11*KTDB_TripDistribution_2045!P$12 * (1+KTDB_발생량도착량_증가율!$C$8) * (1+KTDB_발생량도착량_증가율!$D$7*5) * (1+KTDB_발생량도착량_증가율!$E$7*5) * (1+KTDB_발생량도착량_증가율!$F$7*5) * (1+KTDB_발생량도착량_증가율!$G$7*5)</f>
        <v>0</v>
      </c>
      <c r="H39" s="400">
        <f>$D11*KTDB_TripDistribution_2045!Q$12 * (1+KTDB_발생량도착량_증가율!$C$8) * (1+KTDB_발생량도착량_증가율!$D$7*5) * (1+KTDB_발생량도착량_증가율!$E$7*5) * (1+KTDB_발생량도착량_증가율!$F$7*5) * (1+KTDB_발생량도착량_증가율!$G$7*5)</f>
        <v>0</v>
      </c>
      <c r="J39" s="230">
        <f t="shared" si="4"/>
        <v>0</v>
      </c>
      <c r="K39" s="206"/>
      <c r="L39" s="206" t="s">
        <v>718</v>
      </c>
      <c r="M39" s="206">
        <f>INDEX($A$35:$H$42,MATCH($L39,$B$35:$B$42,0),MATCH($M$34,$A$35:$H$35,0))*고양시_Modal_split!C$3 * 0.01</f>
        <v>0</v>
      </c>
      <c r="N39" s="206">
        <f>INDEX($A$35:$H$42,MATCH($L39,$B$35:$B$42,0),MATCH($M$34,$A$35:$H$35,0))*고양시_Modal_split!D$3 * 0.01</f>
        <v>0</v>
      </c>
      <c r="O39" s="206">
        <f>INDEX($A$35:$H$42,MATCH($L39,$B$35:$B$42,0),MATCH($M$34,$A$35:$H$35,0))*고양시_Modal_split!E$3 * 0.01</f>
        <v>0</v>
      </c>
      <c r="P39" s="206">
        <f>INDEX($A$35:$H$42,MATCH($L39,$B$35:$B$42,0),MATCH($M$34,$A$35:$H$35,0))*고양시_Modal_split!F$3 * 0.01</f>
        <v>0</v>
      </c>
      <c r="Q39" s="206">
        <f>INDEX($A$35:$H$42,MATCH($L39,$B$35:$B$42,0),MATCH($M$34,$A$35:$H$35,0))*고양시_Modal_split!G$3 * 0.01</f>
        <v>0</v>
      </c>
      <c r="R39" s="206">
        <f>INDEX($A$35:$H$42,MATCH($L39,$B$35:$B$42,0),MATCH($M$34,$A$35:$H$35,0))*고양시_Modal_split!H$3 * 0.01</f>
        <v>0</v>
      </c>
      <c r="S39" s="206">
        <f>INDEX($A$35:$H$42,MATCH($L39,$B$35:$B$42,0),MATCH($M$34,$A$35:$H$35,0))*고양시_Modal_split!I$3 * 0.01</f>
        <v>0</v>
      </c>
      <c r="T39" s="206">
        <f>INDEX($A$35:$H$42,MATCH($L39,$B$35:$B$42,0),MATCH($M$34,$A$35:$H$35,0))*고양시_Modal_split!J$3 * 0.01</f>
        <v>0</v>
      </c>
      <c r="U39" s="206">
        <f>INDEX($A$35:$H$42,MATCH($L39,$B$35:$B$42,0),MATCH($M$34,$A$35:$H$35,0))*고양시_Modal_split!K$3 * 0.01</f>
        <v>0</v>
      </c>
      <c r="V39" s="206">
        <f>INDEX($A$35:$H$42,MATCH($L39,$B$35:$B$42,0),MATCH($M$34,$A$35:$H$35,0))*고양시_Modal_split!L$3 * 0.01</f>
        <v>0</v>
      </c>
      <c r="W39" s="206">
        <f>INDEX($A$35:$H$42,MATCH($L39,$B$35:$B$42,0),MATCH($M$34,$A$35:$H$35,0))*고양시_Modal_split!M$3 * 0.01</f>
        <v>0</v>
      </c>
      <c r="X39" s="206">
        <f>INDEX($A$35:$H$42,MATCH($L39,$B$35:$B$42,0),MATCH($M$34,$A$35:$H$35,0))*고양시_Modal_split!N$3 * 0.01</f>
        <v>0</v>
      </c>
      <c r="Y39" s="206">
        <f>INDEX($A$35:$H$42,MATCH($L39,$B$35:$B$42,0),MATCH($M$34,$A$35:$H$35,0))*고양시_Modal_split!O$3 * 0.01</f>
        <v>0</v>
      </c>
      <c r="Z39" s="209">
        <f>INDEX($A$35:$H$42,MATCH($L39,$B$35:$B$42,0),MATCH($M$34,$A$35:$H$35,0))*고양시_Modal_split!P$3 * 0.01</f>
        <v>0</v>
      </c>
      <c r="AA39" s="207">
        <f>INDEX($A$35:$H$42,MATCH($L39,$B$35:$B$42,0),MATCH($AA$34,$A$35:$H$35,0))*고양시_Modal_split!C$3 * 0.01</f>
        <v>0</v>
      </c>
      <c r="AB39" s="207">
        <f>INDEX($A$35:$H$42,MATCH($L39,$B$35:$B$42,0),MATCH($AA$34,$A$35:$H$35,0))*고양시_Modal_split!D$3 * 0.01</f>
        <v>0</v>
      </c>
      <c r="AC39" s="207">
        <f>INDEX($A$35:$H$42,MATCH($L39,$B$35:$B$42,0),MATCH($AA$34,$A$35:$H$35,0))*고양시_Modal_split!E$3 * 0.01</f>
        <v>0</v>
      </c>
      <c r="AD39" s="207">
        <f>INDEX($A$35:$H$42,MATCH($L39,$B$35:$B$42,0),MATCH($AA$34,$A$35:$H$35,0))*고양시_Modal_split!F$3 * 0.01</f>
        <v>0</v>
      </c>
      <c r="AE39" s="207">
        <f>INDEX($A$35:$H$42,MATCH($L39,$B$35:$B$42,0),MATCH($AA$34,$A$35:$H$35,0))*고양시_Modal_split!G$3 * 0.01</f>
        <v>0</v>
      </c>
      <c r="AF39" s="207">
        <f>INDEX($A$35:$H$42,MATCH($L39,$B$35:$B$42,0),MATCH($AA$34,$A$35:$H$35,0))*고양시_Modal_split!H$3 * 0.01</f>
        <v>0</v>
      </c>
      <c r="AG39" s="207">
        <f>INDEX($A$35:$H$42,MATCH($L39,$B$35:$B$42,0),MATCH($AA$34,$A$35:$H$35,0))*고양시_Modal_split!I$3 * 0.01</f>
        <v>0</v>
      </c>
      <c r="AH39" s="207">
        <f>INDEX($A$35:$H$42,MATCH($L39,$B$35:$B$42,0),MATCH($AA$34,$A$35:$H$35,0))*고양시_Modal_split!J$3 * 0.01</f>
        <v>0</v>
      </c>
      <c r="AI39" s="207">
        <f>INDEX($A$35:$H$42,MATCH($L39,$B$35:$B$42,0),MATCH($AA$34,$A$35:$H$35,0))*고양시_Modal_split!K$3 * 0.01</f>
        <v>0</v>
      </c>
      <c r="AJ39" s="207">
        <f>INDEX($A$35:$H$42,MATCH($L39,$B$35:$B$42,0),MATCH($AA$34,$A$35:$H$35,0))*고양시_Modal_split!L$3 * 0.01</f>
        <v>0</v>
      </c>
      <c r="AK39" s="207">
        <f>INDEX($A$35:$H$42,MATCH($L39,$B$35:$B$42,0),MATCH($AA$34,$A$35:$H$35,0))*고양시_Modal_split!M$3 * 0.01</f>
        <v>0</v>
      </c>
      <c r="AL39" s="207">
        <f>INDEX($A$35:$H$42,MATCH($L39,$B$35:$B$42,0),MATCH($AA$34,$A$35:$H$35,0))*고양시_Modal_split!N$3 * 0.01</f>
        <v>0</v>
      </c>
      <c r="AM39" s="207">
        <f>INDEX($A$35:$H$42,MATCH($L39,$B$35:$B$42,0),MATCH($AA$34,$A$35:$H$35,0))*고양시_Modal_split!O$3 * 0.01</f>
        <v>0</v>
      </c>
      <c r="AN39" s="207">
        <f>INDEX($A$35:$H$42,MATCH($L39,$B$35:$B$42,0),MATCH($AA$34,$A$35:$H$35,0))*고양시_Modal_split!P$3 * 0.01</f>
        <v>0</v>
      </c>
      <c r="AO39" s="303">
        <f>INDEX($A$35:$H$42,MATCH($L39,$B$35:$B$42,0),MATCH($AO$34,$A$35:$H$35,0))*고양시_Modal_split!C$3 * 0.01</f>
        <v>0</v>
      </c>
      <c r="AP39" s="303">
        <f>INDEX($A$35:$H$42,MATCH($L39,$B$35:$B$42,0),MATCH($AO$34,$A$35:$H$35,0))*고양시_Modal_split!D$3 * 0.01</f>
        <v>0</v>
      </c>
      <c r="AQ39" s="303">
        <f>INDEX($A$35:$H$42,MATCH($L39,$B$35:$B$42,0),MATCH($AO$34,$A$35:$H$35,0))*고양시_Modal_split!E$3 * 0.01</f>
        <v>0</v>
      </c>
      <c r="AR39" s="303">
        <f>INDEX($A$35:$H$42,MATCH($L39,$B$35:$B$42,0),MATCH($AO$34,$A$35:$H$35,0))*고양시_Modal_split!F$3 * 0.01</f>
        <v>0</v>
      </c>
      <c r="AS39" s="303">
        <f>INDEX($A$35:$H$42,MATCH($L39,$B$35:$B$42,0),MATCH($AO$34,$A$35:$H$35,0))*고양시_Modal_split!G$3 * 0.01</f>
        <v>0</v>
      </c>
      <c r="AT39" s="303">
        <f>INDEX($A$35:$H$42,MATCH($L39,$B$35:$B$42,0),MATCH($AO$34,$A$35:$H$35,0))*고양시_Modal_split!H$3 * 0.01</f>
        <v>0</v>
      </c>
      <c r="AU39" s="303">
        <f>INDEX($A$35:$H$42,MATCH($L39,$B$35:$B$42,0),MATCH($AO$34,$A$35:$H$35,0))*고양시_Modal_split!I$3 * 0.01</f>
        <v>0</v>
      </c>
      <c r="AV39" s="303">
        <f>INDEX($A$35:$H$42,MATCH($L39,$B$35:$B$42,0),MATCH($AO$34,$A$35:$H$35,0))*고양시_Modal_split!J$3 * 0.01</f>
        <v>0</v>
      </c>
      <c r="AW39" s="303">
        <f>INDEX($A$35:$H$42,MATCH($L39,$B$35:$B$42,0),MATCH($AO$34,$A$35:$H$35,0))*고양시_Modal_split!K$3 * 0.01</f>
        <v>0</v>
      </c>
      <c r="AX39" s="303">
        <f>INDEX($A$35:$H$42,MATCH($L39,$B$35:$B$42,0),MATCH($AO$34,$A$35:$H$35,0))*고양시_Modal_split!L$3 * 0.01</f>
        <v>0</v>
      </c>
      <c r="AY39" s="303">
        <f>INDEX($A$35:$H$42,MATCH($L39,$B$35:$B$42,0),MATCH($AO$34,$A$35:$H$35,0))*고양시_Modal_split!M$3 * 0.01</f>
        <v>0</v>
      </c>
      <c r="AZ39" s="303">
        <f>INDEX($A$35:$H$42,MATCH($L39,$B$35:$B$42,0),MATCH($AO$34,$A$35:$H$35,0))*고양시_Modal_split!N$3 * 0.01</f>
        <v>0</v>
      </c>
      <c r="BA39" s="207">
        <f>INDEX($A$35:$H$42,MATCH($L39,$B$35:$B$42,0),MATCH($AO$34,$A$35:$H$35,0))*고양시_Modal_split!O$3 * 0.01</f>
        <v>0</v>
      </c>
      <c r="BB39" s="207">
        <f>INDEX($A$35:$H$42,MATCH($L39,$B$35:$B$42,0),MATCH($AO$34,$A$35:$H$35,0))*고양시_Modal_split!P$3 * 0.01</f>
        <v>0</v>
      </c>
      <c r="BC39" s="207">
        <f>INDEX($A$35:$H$42,MATCH($L39,$B$35:$B$42,0),MATCH($BC$34,$A$35:$H$35,0))*고양시_Modal_split!C$3 * 0.01</f>
        <v>0</v>
      </c>
      <c r="BD39" s="207">
        <f>INDEX($A$35:$H$42,MATCH($L39,$B$35:$B$42,0),MATCH($BC$34,$A$35:$H$35,0))*고양시_Modal_split!D$3 * 0.01</f>
        <v>0</v>
      </c>
      <c r="BE39" s="207">
        <f>INDEX($A$35:$H$42,MATCH($L39,$B$35:$B$42,0),MATCH($BC$34,$A$35:$H$35,0))*고양시_Modal_split!E$3 * 0.01</f>
        <v>0</v>
      </c>
      <c r="BF39" s="207">
        <f>INDEX($A$35:$H$42,MATCH($L39,$B$35:$B$42,0),MATCH($BC$34,$A$35:$H$35,0))*고양시_Modal_split!F$3 * 0.01</f>
        <v>0</v>
      </c>
      <c r="BG39" s="207">
        <f>INDEX($A$35:$H$42,MATCH($L39,$B$35:$B$42,0),MATCH($BC$34,$A$35:$H$35,0))*고양시_Modal_split!G$3 * 0.01</f>
        <v>0</v>
      </c>
      <c r="BH39" s="207">
        <f>INDEX($A$35:$H$42,MATCH($L39,$B$35:$B$42,0),MATCH($BC$34,$A$35:$H$35,0))*고양시_Modal_split!H$3 * 0.01</f>
        <v>0</v>
      </c>
      <c r="BI39" s="207">
        <f>INDEX($A$35:$H$42,MATCH($L39,$B$35:$B$42,0),MATCH($BC$34,$A$35:$H$35,0))*고양시_Modal_split!I$3 * 0.01</f>
        <v>0</v>
      </c>
      <c r="BJ39" s="207">
        <f>INDEX($A$35:$H$42,MATCH($L39,$B$35:$B$42,0),MATCH($BC$34,$A$35:$H$35,0))*고양시_Modal_split!J$3 * 0.01</f>
        <v>0</v>
      </c>
      <c r="BK39" s="207">
        <f>INDEX($A$35:$H$42,MATCH($L39,$B$35:$B$42,0),MATCH($BC$34,$A$35:$H$35,0))*고양시_Modal_split!K$3 * 0.01</f>
        <v>0</v>
      </c>
      <c r="BL39" s="207">
        <f>INDEX($A$35:$H$42,MATCH($L39,$B$35:$B$42,0),MATCH($BC$34,$A$35:$H$35,0))*고양시_Modal_split!L$3 * 0.01</f>
        <v>0</v>
      </c>
      <c r="BM39" s="207">
        <f>INDEX($A$35:$H$42,MATCH($L39,$B$35:$B$42,0),MATCH($BC$34,$A$35:$H$35,0))*고양시_Modal_split!M$3 * 0.01</f>
        <v>0</v>
      </c>
      <c r="BN39" s="207">
        <f>INDEX($A$35:$H$42,MATCH($L39,$B$35:$B$42,0),MATCH($BC$34,$A$35:$H$35,0))*고양시_Modal_split!N$3 * 0.01</f>
        <v>0</v>
      </c>
      <c r="BO39" s="207">
        <f>INDEX($A$35:$H$42,MATCH($L39,$B$35:$B$42,0),MATCH($BC$34,$A$35:$H$35,0))*고양시_Modal_split!O$3 * 0.01</f>
        <v>0</v>
      </c>
      <c r="BP39" s="207">
        <f>INDEX($A$35:$H$42,MATCH($L39,$B$35:$B$42,0),MATCH($BC$34,$A$35:$H$35,0))*고양시_Modal_split!P$3 * 0.01</f>
        <v>0</v>
      </c>
      <c r="BQ39" s="207">
        <f>INDEX($A$35:$H$42,MATCH($L39,$B$35:$B$42,0),MATCH($BQ$34,$A$35:$H$35,0))*고양시_Modal_split!C$3 * 0.01</f>
        <v>0</v>
      </c>
      <c r="BR39" s="207">
        <f>INDEX($A$35:$H$42,MATCH($L39,$B$35:$B$42,0),MATCH($BQ$34,$A$35:$H$35,0))*고양시_Modal_split!D$3 * 0.01</f>
        <v>0</v>
      </c>
      <c r="BS39" s="207">
        <f>INDEX($A$35:$H$42,MATCH($L39,$B$35:$B$42,0),MATCH($BQ$34,$A$35:$H$35,0))*고양시_Modal_split!E$3 * 0.01</f>
        <v>0</v>
      </c>
      <c r="BT39" s="207">
        <f>INDEX($A$35:$H$42,MATCH($L39,$B$35:$B$42,0),MATCH($BQ$34,$A$35:$H$35,0))*고양시_Modal_split!F$3 * 0.01</f>
        <v>0</v>
      </c>
      <c r="BU39" s="207">
        <f>INDEX($A$35:$H$42,MATCH($L39,$B$35:$B$42,0),MATCH($BQ$34,$A$35:$H$35,0))*고양시_Modal_split!G$3 * 0.01</f>
        <v>0</v>
      </c>
      <c r="BV39" s="207">
        <f>INDEX($A$35:$H$42,MATCH($L39,$B$35:$B$42,0),MATCH($BQ$34,$A$35:$H$35,0))*고양시_Modal_split!H$3 * 0.01</f>
        <v>0</v>
      </c>
      <c r="BW39" s="207">
        <f>INDEX($A$35:$H$42,MATCH($L39,$B$35:$B$42,0),MATCH($BQ$34,$A$35:$H$35,0))*고양시_Modal_split!I$3 * 0.01</f>
        <v>0</v>
      </c>
      <c r="BX39" s="207">
        <f>INDEX($A$35:$H$42,MATCH($L39,$B$35:$B$42,0),MATCH($BQ$34,$A$35:$H$35,0))*고양시_Modal_split!J$3 * 0.01</f>
        <v>0</v>
      </c>
      <c r="BY39" s="207">
        <f>INDEX($A$35:$H$42,MATCH($L39,$B$35:$B$42,0),MATCH($BQ$34,$A$35:$H$35,0))*고양시_Modal_split!K$3 * 0.01</f>
        <v>0</v>
      </c>
      <c r="BZ39" s="207">
        <f>INDEX($A$35:$H$42,MATCH($L39,$B$35:$B$42,0),MATCH($BQ$34,$A$35:$H$35,0))*고양시_Modal_split!L$3 * 0.01</f>
        <v>0</v>
      </c>
      <c r="CA39" s="207">
        <f>INDEX($A$35:$H$42,MATCH($L39,$B$35:$B$42,0),MATCH($BQ$34,$A$35:$H$35,0))*고양시_Modal_split!M$3 * 0.01</f>
        <v>0</v>
      </c>
      <c r="CB39" s="207">
        <f>INDEX($A$35:$H$42,MATCH($L39,$B$35:$B$42,0),MATCH($BQ$34,$A$35:$H$35,0))*고양시_Modal_split!N$3 * 0.01</f>
        <v>0</v>
      </c>
      <c r="CC39" s="207">
        <f>INDEX($A$35:$H$42,MATCH($L39,$B$35:$B$42,0),MATCH($BQ$34,$A$35:$H$35,0))*고양시_Modal_split!O$3 * 0.01</f>
        <v>0</v>
      </c>
      <c r="CD39" s="207">
        <f>INDEX($A$35:$H$42,MATCH($L39,$B$35:$B$42,0),MATCH($BQ$34,$A$35:$H$35,0))*고양시_Modal_split!P$3 * 0.01</f>
        <v>0</v>
      </c>
      <c r="CE39" s="304">
        <f t="shared" si="10"/>
        <v>0</v>
      </c>
      <c r="CF39" s="304">
        <f t="shared" si="5"/>
        <v>0</v>
      </c>
      <c r="CG39" s="304">
        <f t="shared" si="5"/>
        <v>0</v>
      </c>
      <c r="CH39" s="304">
        <f t="shared" si="5"/>
        <v>0</v>
      </c>
      <c r="CI39" s="304">
        <f t="shared" si="5"/>
        <v>0</v>
      </c>
      <c r="CJ39" s="304">
        <f t="shared" si="5"/>
        <v>0</v>
      </c>
      <c r="CK39" s="304">
        <f t="shared" si="5"/>
        <v>0</v>
      </c>
      <c r="CL39" s="304">
        <f t="shared" si="5"/>
        <v>0</v>
      </c>
      <c r="CM39" s="304">
        <f t="shared" si="5"/>
        <v>0</v>
      </c>
      <c r="CN39" s="304">
        <f t="shared" si="5"/>
        <v>0</v>
      </c>
      <c r="CO39" s="304">
        <f t="shared" si="5"/>
        <v>0</v>
      </c>
      <c r="CP39" s="304">
        <f t="shared" si="5"/>
        <v>0</v>
      </c>
      <c r="CQ39" s="304">
        <f t="shared" si="5"/>
        <v>0</v>
      </c>
      <c r="CR39" s="304">
        <f t="shared" si="5"/>
        <v>0</v>
      </c>
      <c r="CS39" s="305">
        <f t="shared" si="11"/>
        <v>0</v>
      </c>
      <c r="CV39" s="265"/>
      <c r="CW39" s="265" t="s">
        <v>718</v>
      </c>
      <c r="CX39" s="267">
        <f>INDEX($M$34:$Z$42,MATCH($CW39,$L$34:$L$42,0),MATCH(CX$35,$M$35:$Z$35,0))/INDEX(고양시_재차인원!$D$4:$H$35,MATCH("고양시",고양시_재차인원!$B$4:$B$35,0),MATCH($CX$34,고양시_재차인원!$D$4:$H$4,0))</f>
        <v>0</v>
      </c>
      <c r="CY39" s="267">
        <f>INDEX($M$34:$Z$42,MATCH($CW39,$L$34:$L$42,0),MATCH(CY$35,$M$35:$Z$35,0))/INDEX(고양시_재차인원!$K$4:$O$20,MATCH("경기도",고양시_재차인원!$K$4:$K$20,0),MATCH(CY$35,고양시_재차인원!$K$4:$O$4,0))</f>
        <v>0</v>
      </c>
      <c r="CZ39" s="267">
        <f>INDEX($M$34:$Z$42,MATCH($CW39,$L$34:$L$42,0),MATCH(CZ$35,$M$35:$Z$35,0))/INDEX(고양시_재차인원!$K$4:$O$20,MATCH("경기도",고양시_재차인원!$K$4:$K$20,0),MATCH(CZ$35,고양시_재차인원!$K$4:$O$4,0))</f>
        <v>0</v>
      </c>
      <c r="DA39" s="267">
        <f>INDEX($M$34:$Z$42,MATCH($CW39,$L$34:$L$42,0),MATCH(DA$35,$M$35:$Z$35,0))/INDEX(고양시_재차인원!$D$4:$H$35,MATCH("고양시",고양시_재차인원!$B$4:$B$35,0),MATCH($CX$34,고양시_재차인원!$D$4:$H$4,0))</f>
        <v>0</v>
      </c>
      <c r="DB39" s="267">
        <f>INDEX($AA$34:$AN$42,MATCH($CW39,$L$34:$L$42,0),MATCH(DB$35,$AA$35:$AN$35,0))/INDEX(고양시_재차인원!$D$4:$H$35,MATCH("고양시",고양시_재차인원!$B$4:$B$35,0),MATCH($DB$34,고양시_재차인원!$D$4:$H$4,0))</f>
        <v>0</v>
      </c>
      <c r="DC39" s="267">
        <f>INDEX($AA$34:$AN$42,MATCH($CW39,$L$34:$L$42,0),MATCH(DC$35,$AA$35:$AN$35,0))/INDEX(고양시_재차인원!$K$4:$O$20,MATCH("경기도",고양시_재차인원!$K$4:$K$20,0),MATCH(DC$35,고양시_재차인원!$K$4:$O$4,0))</f>
        <v>0</v>
      </c>
      <c r="DD39" s="267">
        <f>INDEX($AA$34:$AN$42,MATCH($CW39,$L$34:$L$42,0),MATCH(DD$35,$AA$35:$AN$35,0))/INDEX(고양시_재차인원!$K$4:$O$20,MATCH("경기도",고양시_재차인원!$K$4:$K$20,0),MATCH(DD$35,고양시_재차인원!$K$4:$O$4,0))</f>
        <v>0</v>
      </c>
      <c r="DE39" s="267">
        <f>INDEX($AA$34:$AN$42,MATCH($CW39,$L$34:$L$42,0),MATCH(DE$35,$AA$35:$AN$35,0))/INDEX(고양시_재차인원!$D$4:$H$35,MATCH("고양시",고양시_재차인원!$B$4:$B$35,0),MATCH($DB$34,고양시_재차인원!$D$4:$H$4,0))</f>
        <v>0</v>
      </c>
      <c r="DF39" s="267">
        <f>INDEX($AO$34:$BB$42,MATCH($CW39,$L$34:$L$42,0),MATCH(DF$35,$AO$35:$BB$35,0))/INDEX(고양시_재차인원!$D$4:$H$35,MATCH("고양시",고양시_재차인원!$B$4:$B$35,0),MATCH($DF$34,고양시_재차인원!$D$4:$H$4,0))</f>
        <v>0</v>
      </c>
      <c r="DG39" s="267">
        <f>INDEX($AO$34:$BB$42,MATCH($CW39,$L$34:$L$42,0),MATCH(DG$35,$AO$35:$BB$35,0))/INDEX(고양시_재차인원!$K$4:$O$20,MATCH("경기도",고양시_재차인원!$K$4:$K$20,0),MATCH(DG$35,고양시_재차인원!$K$4:$O$4,0))</f>
        <v>0</v>
      </c>
      <c r="DH39" s="267">
        <f>INDEX($AO$34:$BB$42,MATCH($CW39,$L$34:$L$42,0),MATCH(DH$35,$AO$35:$BB$35,0))/INDEX(고양시_재차인원!$K$4:$O$20,MATCH("경기도",고양시_재차인원!$K$4:$K$20,0),MATCH(DH$35,고양시_재차인원!$K$4:$O$4,0))</f>
        <v>0</v>
      </c>
      <c r="DI39" s="267">
        <f>INDEX($AO$34:$BB$42,MATCH($CW39,$L$34:$L$42,0),MATCH(DI$35,$AO$35:$BB$35,0))/INDEX(고양시_재차인원!$D$4:$H$35,MATCH("고양시",고양시_재차인원!$B$4:$B$35,0),MATCH($DF$34,고양시_재차인원!$D$4:$H$4,0))</f>
        <v>0</v>
      </c>
      <c r="DJ39" s="267">
        <f>INDEX($BC$34:$BP$42,MATCH($CW39,$L$34:$L$42,0),MATCH(DJ$35,$BC$35:$BP$35,0))/INDEX(고양시_재차인원!$D$4:$H$35,MATCH("고양시",고양시_재차인원!$B$4:$B$35,0),MATCH($DJ$34,고양시_재차인원!$D$4:$H$4,0))</f>
        <v>0</v>
      </c>
      <c r="DK39" s="267">
        <f>INDEX($BC$34:$BP$42,MATCH($CW39,$L$34:$L$42,0),MATCH(DK$35,$BC$35:$BP$35,0))/INDEX(고양시_재차인원!$K$4:$O$20,MATCH("경기도",고양시_재차인원!$K$4:$K$20,0),MATCH(DK$35,고양시_재차인원!$K$4:$O$4,0))</f>
        <v>0</v>
      </c>
      <c r="DL39" s="267">
        <f>INDEX($BC$34:$BP$42,MATCH($CW39,$L$34:$L$42,0),MATCH(DL$35,$BC$35:$BP$35,0))/INDEX(고양시_재차인원!$K$4:$O$20,MATCH("경기도",고양시_재차인원!$K$4:$K$20,0),MATCH(DL$35,고양시_재차인원!$K$4:$O$4,0))</f>
        <v>0</v>
      </c>
      <c r="DM39" s="267">
        <f>INDEX($BC$34:$BP$42,MATCH($CW39,$L$34:$L$42,0),MATCH(DM$35,$BC$35:$BP$35,0))/INDEX(고양시_재차인원!$D$4:$H$35,MATCH("고양시",고양시_재차인원!$B$4:$B$35,0),MATCH($DJ$34,고양시_재차인원!$D$4:$H$4,0))</f>
        <v>0</v>
      </c>
      <c r="DN39" s="267">
        <f>INDEX($BQ$34:$CD$42,MATCH($CW39,$L$34:$L$42,0),MATCH(DN$35,$BQ$35:$CD$35,0))/INDEX(고양시_재차인원!$D$4:$H$35,MATCH("고양시",고양시_재차인원!$B$4:$B$35,0),MATCH($DN$34,고양시_재차인원!$D$4:$H$4,0))</f>
        <v>0</v>
      </c>
      <c r="DO39" s="267">
        <f>INDEX($BQ$34:$CD$42,MATCH($CW39,$L$34:$L$42,0),MATCH(DO$35,$BQ$35:$CD$35,0))/INDEX(고양시_재차인원!$K$4:$O$20,MATCH("경기도",고양시_재차인원!$K$4:$K$20,0),MATCH(DO$35,고양시_재차인원!$K$4:$O$4,0))</f>
        <v>0</v>
      </c>
      <c r="DP39" s="267">
        <f>INDEX($BQ$34:$CD$42,MATCH($CW39,$L$34:$L$42,0),MATCH(DP$35,$BQ$35:$CD$35,0))/INDEX(고양시_재차인원!$K$4:$O$20,MATCH("경기도",고양시_재차인원!$K$4:$K$20,0),MATCH(DP$35,고양시_재차인원!$K$4:$O$4,0))</f>
        <v>0</v>
      </c>
      <c r="DQ39" s="267">
        <f>INDEX($BQ$34:$CD$42,MATCH($CW39,$L$34:$L$42,0),MATCH(DQ$35,$BQ$35:$CD$35,0))/INDEX(고양시_재차인원!$D$4:$H$35,MATCH("고양시",고양시_재차인원!$B$4:$B$35,0),MATCH($DN$34,고양시_재차인원!$D$4:$H$4,0))</f>
        <v>0</v>
      </c>
      <c r="DR39" s="270">
        <f t="shared" si="12"/>
        <v>0</v>
      </c>
      <c r="DS39" s="270">
        <f t="shared" si="6"/>
        <v>0</v>
      </c>
      <c r="DT39" s="270">
        <f t="shared" si="6"/>
        <v>0</v>
      </c>
      <c r="DU39" s="270">
        <f t="shared" si="6"/>
        <v>0</v>
      </c>
      <c r="DW39" s="278"/>
      <c r="DX39" s="278" t="s">
        <v>718</v>
      </c>
      <c r="DY39" s="281">
        <f t="shared" si="13"/>
        <v>0</v>
      </c>
      <c r="DZ39" s="281">
        <f t="shared" si="14"/>
        <v>0</v>
      </c>
      <c r="EB39" s="278"/>
      <c r="EC39" s="278" t="s">
        <v>671</v>
      </c>
      <c r="ED39" s="281">
        <f t="shared" si="15"/>
        <v>0</v>
      </c>
      <c r="EE39" s="281">
        <f t="shared" si="7"/>
        <v>0</v>
      </c>
    </row>
    <row r="40" spans="1:157" ht="25">
      <c r="A40" s="205" t="s">
        <v>702</v>
      </c>
      <c r="B40" s="205" t="s">
        <v>717</v>
      </c>
      <c r="C40" s="400">
        <f>$D12*KTDB_TripDistribution_2045!L$12 * (1+KTDB_발생량도착량_증가율!$C$8) * (1+KTDB_발생량도착량_증가율!$D$7*5) * (1+KTDB_발생량도착량_증가율!$E$7*5) * (1+KTDB_발생량도착량_증가율!$F$7*5) * (1+KTDB_발생량도착량_증가율!$G$7*5)</f>
        <v>44.130730544612121</v>
      </c>
      <c r="D40" s="400">
        <f>$D12*KTDB_TripDistribution_2045!M$12 * (1+KTDB_발생량도착량_증가율!$C$8) * (1+KTDB_발생량도착량_증가율!$D$7*5) * (1+KTDB_발생량도착량_증가율!$E$7*5) * (1+KTDB_발생량도착량_증가율!$F$7*5) * (1+KTDB_발생량도착량_증가율!$G$7*5)</f>
        <v>343.16644572897741</v>
      </c>
      <c r="E40" s="400">
        <f>$D12*KTDB_TripDistribution_2045!N$12 * (1+KTDB_발생량도착량_증가율!$C$8) * (1+KTDB_발생량도착량_증가율!$D$7*5) * (1+KTDB_발생량도착량_증가율!$E$7*5) * (1+KTDB_발생량도착량_증가율!$F$7*5) * (1+KTDB_발생량도착량_증가율!$G$7*5)</f>
        <v>15.210973879101722</v>
      </c>
      <c r="F40" s="400">
        <f>$D12*KTDB_TripDistribution_2045!O$12 * (1+KTDB_발생량도착량_증가율!$C$8) * (1+KTDB_발생량도착량_증가율!$D$7*5) * (1+KTDB_발생량도착량_증가율!$E$7*5) * (1+KTDB_발생량도착량_증가율!$F$7*5) * (1+KTDB_발생량도착량_증가율!$G$7*5)</f>
        <v>4.1250098655191192E-2</v>
      </c>
      <c r="G40" s="400">
        <f>$D12*KTDB_TripDistribution_2045!P$12 * (1+KTDB_발생량도착량_증가율!$C$8) * (1+KTDB_발생량도착량_증가율!$D$7*5) * (1+KTDB_발생량도착량_증가율!$E$7*5) * (1+KTDB_발생량도착량_증가율!$F$7*5) * (1+KTDB_발생량도착량_증가율!$G$7*5)</f>
        <v>0.11687527952304129</v>
      </c>
      <c r="H40" s="400">
        <f>$D12*KTDB_TripDistribution_2045!Q$12 * (1+KTDB_발생량도착량_증가율!$C$8) * (1+KTDB_발생량도착량_증가율!$D$7*5) * (1+KTDB_발생량도착량_증가율!$E$7*5) * (1+KTDB_발생량도착량_증가율!$F$7*5) * (1+KTDB_발생량도착량_증가율!$G$7*5)</f>
        <v>402.66627553086948</v>
      </c>
      <c r="J40" s="230">
        <f t="shared" si="4"/>
        <v>402.66627553086948</v>
      </c>
      <c r="K40" s="206"/>
      <c r="L40" s="206" t="s">
        <v>716</v>
      </c>
      <c r="M40" s="206">
        <f>INDEX($A$35:$H$42,MATCH($L40,$B$35:$B$42,0),MATCH($M$34,$A$35:$H$35,0))*고양시_Modal_split!C$3 * 0.01</f>
        <v>0.12356604552491392</v>
      </c>
      <c r="N40" s="206">
        <f>INDEX($A$35:$H$42,MATCH($L40,$B$35:$B$42,0),MATCH($M$34,$A$35:$H$35,0))*고양시_Modal_split!D$3 * 0.01</f>
        <v>20.754682575131081</v>
      </c>
      <c r="O40" s="206">
        <f>INDEX($A$35:$H$42,MATCH($L40,$B$35:$B$42,0),MATCH($M$34,$A$35:$H$35,0))*고양시_Modal_split!E$3 * 0.01</f>
        <v>2.5110385679884293</v>
      </c>
      <c r="P40" s="206">
        <f>INDEX($A$35:$H$42,MATCH($L40,$B$35:$B$42,0),MATCH($M$34,$A$35:$H$35,0))*고양시_Modal_split!F$3 * 0.01</f>
        <v>4.0467879909409321</v>
      </c>
      <c r="Q40" s="206">
        <f>INDEX($A$35:$H$42,MATCH($L40,$B$35:$B$42,0),MATCH($M$34,$A$35:$H$35,0))*고양시_Modal_split!G$3 * 0.01</f>
        <v>0.40600272101043144</v>
      </c>
      <c r="R40" s="206">
        <f>INDEX($A$35:$H$42,MATCH($L40,$B$35:$B$42,0),MATCH($M$34,$A$35:$H$35,0))*고양시_Modal_split!H$3 * 0.01</f>
        <v>4.4130730544612124E-3</v>
      </c>
      <c r="S40" s="206">
        <f>INDEX($A$35:$H$42,MATCH($L40,$B$35:$B$42,0),MATCH($M$34,$A$35:$H$35,0))*고양시_Modal_split!I$3 * 0.01</f>
        <v>1.226834309140217</v>
      </c>
      <c r="T40" s="206">
        <f>INDEX($A$35:$H$42,MATCH($L40,$B$35:$B$42,0),MATCH($M$34,$A$35:$H$35,0))*고양시_Modal_split!J$3 * 0.01</f>
        <v>13.43339437777993</v>
      </c>
      <c r="U40" s="206">
        <f>INDEX($A$35:$H$42,MATCH($L40,$B$35:$B$42,0),MATCH($M$34,$A$35:$H$35,0))*고양시_Modal_split!K$3 * 0.01</f>
        <v>6.6196095816918182E-2</v>
      </c>
      <c r="V40" s="206">
        <f>INDEX($A$35:$H$42,MATCH($L40,$B$35:$B$42,0),MATCH($M$34,$A$35:$H$35,0))*고양시_Modal_split!L$3 * 0.01</f>
        <v>1.3327480624472861</v>
      </c>
      <c r="W40" s="206">
        <f>INDEX($A$35:$H$42,MATCH($L40,$B$35:$B$42,0),MATCH($M$34,$A$35:$H$35,0))*고양시_Modal_split!M$3 * 0.01</f>
        <v>0.10150068025260786</v>
      </c>
      <c r="X40" s="206">
        <f>INDEX($A$35:$H$42,MATCH($L40,$B$35:$B$42,0),MATCH($M$34,$A$35:$H$35,0))*고양시_Modal_split!N$3 * 0.01</f>
        <v>4.4130730544612126E-2</v>
      </c>
      <c r="Y40" s="206">
        <f>INDEX($A$35:$H$42,MATCH($L40,$B$35:$B$42,0),MATCH($M$34,$A$35:$H$35,0))*고양시_Modal_split!O$3 * 0.01</f>
        <v>7.9435314980301819E-2</v>
      </c>
      <c r="Z40" s="209">
        <f>INDEX($A$35:$H$42,MATCH($L40,$B$35:$B$42,0),MATCH($M$34,$A$35:$H$35,0))*고양시_Modal_split!P$3 * 0.01</f>
        <v>44.130730544612128</v>
      </c>
      <c r="AA40" s="207">
        <f>INDEX($A$35:$H$42,MATCH($L40,$B$35:$B$42,0),MATCH($AA$34,$A$35:$H$35,0))*고양시_Modal_split!C$3 * 0.01</f>
        <v>0.96086604804113662</v>
      </c>
      <c r="AB40" s="207">
        <f>INDEX($A$35:$H$42,MATCH($L40,$B$35:$B$42,0),MATCH($AA$34,$A$35:$H$35,0))*고양시_Modal_split!D$3 * 0.01</f>
        <v>161.39117942633808</v>
      </c>
      <c r="AC40" s="207">
        <f>INDEX($A$35:$H$42,MATCH($L40,$B$35:$B$42,0),MATCH($AA$34,$A$35:$H$35,0))*고양시_Modal_split!E$3 * 0.01</f>
        <v>19.526170761978815</v>
      </c>
      <c r="AD40" s="207">
        <f>INDEX($A$35:$H$42,MATCH($L40,$B$35:$B$42,0),MATCH($AA$34,$A$35:$H$35,0))*고양시_Modal_split!F$3 * 0.01</f>
        <v>31.468363073347227</v>
      </c>
      <c r="AE40" s="207">
        <f>INDEX($A$35:$H$42,MATCH($L40,$B$35:$B$42,0),MATCH($AA$34,$A$35:$H$35,0))*고양시_Modal_split!G$3 * 0.01</f>
        <v>3.1571313007065918</v>
      </c>
      <c r="AF40" s="207">
        <f>INDEX($A$35:$H$42,MATCH($L40,$B$35:$B$42,0),MATCH($AA$34,$A$35:$H$35,0))*고양시_Modal_split!H$3 * 0.01</f>
        <v>3.4316644572897743E-2</v>
      </c>
      <c r="AG40" s="207">
        <f>INDEX($A$35:$H$42,MATCH($L40,$B$35:$B$42,0),MATCH($AA$34,$A$35:$H$35,0))*고양시_Modal_split!I$3 * 0.01</f>
        <v>9.5400271912655725</v>
      </c>
      <c r="AH40" s="207">
        <f>INDEX($A$35:$H$42,MATCH($L40,$B$35:$B$42,0),MATCH($AA$34,$A$35:$H$35,0))*고양시_Modal_split!J$3 * 0.01</f>
        <v>104.45986607990073</v>
      </c>
      <c r="AI40" s="207">
        <f>INDEX($A$35:$H$42,MATCH($L40,$B$35:$B$42,0),MATCH($AA$34,$A$35:$H$35,0))*고양시_Modal_split!K$3 * 0.01</f>
        <v>0.51474966859346605</v>
      </c>
      <c r="AJ40" s="207">
        <f>INDEX($A$35:$H$42,MATCH($L40,$B$35:$B$42,0),MATCH($AA$34,$A$35:$H$35,0))*고양시_Modal_split!L$3 * 0.01</f>
        <v>10.363626661015118</v>
      </c>
      <c r="AK40" s="207">
        <f>INDEX($A$35:$H$42,MATCH($L40,$B$35:$B$42,0),MATCH($AA$34,$A$35:$H$35,0))*고양시_Modal_split!M$3 * 0.01</f>
        <v>0.78928282517664794</v>
      </c>
      <c r="AL40" s="207">
        <f>INDEX($A$35:$H$42,MATCH($L40,$B$35:$B$42,0),MATCH($AA$34,$A$35:$H$35,0))*고양시_Modal_split!N$3 * 0.01</f>
        <v>0.34316644572897742</v>
      </c>
      <c r="AM40" s="207">
        <f>INDEX($A$35:$H$42,MATCH($L40,$B$35:$B$42,0),MATCH($AA$34,$A$35:$H$35,0))*고양시_Modal_split!O$3 * 0.01</f>
        <v>0.61769960231215937</v>
      </c>
      <c r="AN40" s="207">
        <f>INDEX($A$35:$H$42,MATCH($L40,$B$35:$B$42,0),MATCH($AA$34,$A$35:$H$35,0))*고양시_Modal_split!P$3 * 0.01</f>
        <v>343.16644572897741</v>
      </c>
      <c r="AO40" s="303">
        <f>INDEX($A$35:$H$42,MATCH($L40,$B$35:$B$42,0),MATCH($AO$34,$A$35:$H$35,0))*고양시_Modal_split!C$3 * 0.01</f>
        <v>4.2590726861484816E-2</v>
      </c>
      <c r="AP40" s="303">
        <f>INDEX($A$35:$H$42,MATCH($L40,$B$35:$B$42,0),MATCH($AO$34,$A$35:$H$35,0))*고양시_Modal_split!D$3 * 0.01</f>
        <v>7.1537210153415405</v>
      </c>
      <c r="AQ40" s="303">
        <f>INDEX($A$35:$H$42,MATCH($L40,$B$35:$B$42,0),MATCH($AO$34,$A$35:$H$35,0))*고양시_Modal_split!E$3 * 0.01</f>
        <v>0.86550441372088804</v>
      </c>
      <c r="AR40" s="303">
        <f>INDEX($A$35:$H$42,MATCH($L40,$B$35:$B$42,0),MATCH($AO$34,$A$35:$H$35,0))*고양시_Modal_split!F$3 * 0.01</f>
        <v>1.3948463047136277</v>
      </c>
      <c r="AS40" s="303">
        <f>INDEX($A$35:$H$42,MATCH($L40,$B$35:$B$42,0),MATCH($AO$34,$A$35:$H$35,0))*고양시_Modal_split!G$3 * 0.01</f>
        <v>0.13994095968773584</v>
      </c>
      <c r="AT40" s="303">
        <f>INDEX($A$35:$H$42,MATCH($L40,$B$35:$B$42,0),MATCH($AO$34,$A$35:$H$35,0))*고양시_Modal_split!H$3 * 0.01</f>
        <v>1.5210973879101722E-3</v>
      </c>
      <c r="AU40" s="303">
        <f>INDEX($A$35:$H$42,MATCH($L40,$B$35:$B$42,0),MATCH($AO$34,$A$35:$H$35,0))*고양시_Modal_split!I$3 * 0.01</f>
        <v>0.42286507383902788</v>
      </c>
      <c r="AV40" s="303">
        <f>INDEX($A$35:$H$42,MATCH($L40,$B$35:$B$42,0),MATCH($AO$34,$A$35:$H$35,0))*고양시_Modal_split!J$3 * 0.01</f>
        <v>4.6302204487985641</v>
      </c>
      <c r="AW40" s="303">
        <f>INDEX($A$35:$H$42,MATCH($L40,$B$35:$B$42,0),MATCH($AO$34,$A$35:$H$35,0))*고양시_Modal_split!K$3 * 0.01</f>
        <v>2.2816460818652583E-2</v>
      </c>
      <c r="AX40" s="303">
        <f>INDEX($A$35:$H$42,MATCH($L40,$B$35:$B$42,0),MATCH($AO$34,$A$35:$H$35,0))*고양시_Modal_split!L$3 * 0.01</f>
        <v>0.45937141114887203</v>
      </c>
      <c r="AY40" s="303">
        <f>INDEX($A$35:$H$42,MATCH($L40,$B$35:$B$42,0),MATCH($AO$34,$A$35:$H$35,0))*고양시_Modal_split!M$3 * 0.01</f>
        <v>3.4985239921933961E-2</v>
      </c>
      <c r="AZ40" s="303">
        <f>INDEX($A$35:$H$42,MATCH($L40,$B$35:$B$42,0),MATCH($AO$34,$A$35:$H$35,0))*고양시_Modal_split!N$3 * 0.01</f>
        <v>1.5210973879101725E-2</v>
      </c>
      <c r="BA40" s="207">
        <f>INDEX($A$35:$H$42,MATCH($L40,$B$35:$B$42,0),MATCH($AO$34,$A$35:$H$35,0))*고양시_Modal_split!O$3 * 0.01</f>
        <v>2.7379752982383102E-2</v>
      </c>
      <c r="BB40" s="207">
        <f>INDEX($A$35:$H$42,MATCH($L40,$B$35:$B$42,0),MATCH($AO$34,$A$35:$H$35,0))*고양시_Modal_split!P$3 * 0.01</f>
        <v>15.210973879101724</v>
      </c>
      <c r="BC40" s="207">
        <f>INDEX($A$35:$H$42,MATCH($L40,$B$35:$B$42,0),MATCH($BC$34,$A$35:$H$35,0))*고양시_Modal_split!C$3 * 0.01</f>
        <v>1.1550027623453533E-4</v>
      </c>
      <c r="BD40" s="207">
        <f>INDEX($A$35:$H$42,MATCH($L40,$B$35:$B$42,0),MATCH($BC$34,$A$35:$H$35,0))*고양시_Modal_split!D$3 * 0.01</f>
        <v>1.9399921397536418E-2</v>
      </c>
      <c r="BE40" s="207">
        <f>INDEX($A$35:$H$42,MATCH($L40,$B$35:$B$42,0),MATCH($BC$34,$A$35:$H$35,0))*고양시_Modal_split!E$3 * 0.01</f>
        <v>2.3471306134803787E-3</v>
      </c>
      <c r="BF40" s="207">
        <f>INDEX($A$35:$H$42,MATCH($L40,$B$35:$B$42,0),MATCH($BC$34,$A$35:$H$35,0))*고양시_Modal_split!F$3 * 0.01</f>
        <v>3.7826340466810323E-3</v>
      </c>
      <c r="BG40" s="207">
        <f>INDEX($A$35:$H$42,MATCH($L40,$B$35:$B$42,0),MATCH($BC$34,$A$35:$H$35,0))*고양시_Modal_split!G$3 * 0.01</f>
        <v>3.7950090762775898E-4</v>
      </c>
      <c r="BH40" s="207">
        <f>INDEX($A$35:$H$42,MATCH($L40,$B$35:$B$42,0),MATCH($BC$34,$A$35:$H$35,0))*고양시_Modal_split!H$3 * 0.01</f>
        <v>4.1250098655191194E-6</v>
      </c>
      <c r="BI40" s="207">
        <f>INDEX($A$35:$H$42,MATCH($L40,$B$35:$B$42,0),MATCH($BC$34,$A$35:$H$35,0))*고양시_Modal_split!I$3 * 0.01</f>
        <v>1.1467527426143151E-3</v>
      </c>
      <c r="BJ40" s="207">
        <f>INDEX($A$35:$H$42,MATCH($L40,$B$35:$B$42,0),MATCH($BC$34,$A$35:$H$35,0))*고양시_Modal_split!J$3 * 0.01</f>
        <v>1.2556530030640198E-2</v>
      </c>
      <c r="BK40" s="207">
        <f>INDEX($A$35:$H$42,MATCH($L40,$B$35:$B$42,0),MATCH($BC$34,$A$35:$H$35,0))*고양시_Modal_split!K$3 * 0.01</f>
        <v>6.1875147982786777E-5</v>
      </c>
      <c r="BL40" s="207">
        <f>INDEX($A$35:$H$42,MATCH($L40,$B$35:$B$42,0),MATCH($BC$34,$A$35:$H$35,0))*고양시_Modal_split!L$3 * 0.01</f>
        <v>1.2457529793867741E-3</v>
      </c>
      <c r="BM40" s="207">
        <f>INDEX($A$35:$H$42,MATCH($L40,$B$35:$B$42,0),MATCH($BC$34,$A$35:$H$35,0))*고양시_Modal_split!M$3 * 0.01</f>
        <v>9.4875226906939746E-5</v>
      </c>
      <c r="BN40" s="207">
        <f>INDEX($A$35:$H$42,MATCH($L40,$B$35:$B$42,0),MATCH($BC$34,$A$35:$H$35,0))*고양시_Modal_split!N$3 * 0.01</f>
        <v>4.1250098655191201E-5</v>
      </c>
      <c r="BO40" s="207">
        <f>INDEX($A$35:$H$42,MATCH($L40,$B$35:$B$42,0),MATCH($BC$34,$A$35:$H$35,0))*고양시_Modal_split!O$3 * 0.01</f>
        <v>7.4250177579344135E-5</v>
      </c>
      <c r="BP40" s="207">
        <f>INDEX($A$35:$H$42,MATCH($L40,$B$35:$B$42,0),MATCH($BC$34,$A$35:$H$35,0))*고양시_Modal_split!P$3 * 0.01</f>
        <v>4.1250098655191192E-2</v>
      </c>
      <c r="BQ40" s="207">
        <f>INDEX($A$35:$H$42,MATCH($L40,$B$35:$B$42,0),MATCH($BQ$34,$A$35:$H$35,0))*고양시_Modal_split!C$3 * 0.01</f>
        <v>3.2725078266451562E-4</v>
      </c>
      <c r="BR40" s="207">
        <f>INDEX($A$35:$H$42,MATCH($L40,$B$35:$B$42,0),MATCH($BQ$34,$A$35:$H$35,0))*고양시_Modal_split!D$3 * 0.01</f>
        <v>5.496644395968632E-2</v>
      </c>
      <c r="BS40" s="207">
        <f>INDEX($A$35:$H$42,MATCH($L40,$B$35:$B$42,0),MATCH($BQ$34,$A$35:$H$35,0))*고양시_Modal_split!E$3 * 0.01</f>
        <v>6.6502034048610496E-3</v>
      </c>
      <c r="BT40" s="207">
        <f>INDEX($A$35:$H$42,MATCH($L40,$B$35:$B$42,0),MATCH($BQ$34,$A$35:$H$35,0))*고양시_Modal_split!F$3 * 0.01</f>
        <v>1.0717463132262886E-2</v>
      </c>
      <c r="BU40" s="207">
        <f>INDEX($A$35:$H$42,MATCH($L40,$B$35:$B$42,0),MATCH($BQ$34,$A$35:$H$35,0))*고양시_Modal_split!G$3 * 0.01</f>
        <v>1.0752525716119798E-3</v>
      </c>
      <c r="BV40" s="207">
        <f>INDEX($A$35:$H$42,MATCH($L40,$B$35:$B$42,0),MATCH($BQ$34,$A$35:$H$35,0))*고양시_Modal_split!H$3 * 0.01</f>
        <v>1.168752795230413E-5</v>
      </c>
      <c r="BW40" s="207">
        <f>INDEX($A$35:$H$42,MATCH($L40,$B$35:$B$42,0),MATCH($BQ$34,$A$35:$H$35,0))*고양시_Modal_split!I$3 * 0.01</f>
        <v>3.2491327707405478E-3</v>
      </c>
      <c r="BX40" s="207">
        <f>INDEX($A$35:$H$42,MATCH($L40,$B$35:$B$42,0),MATCH($BQ$34,$A$35:$H$35,0))*고양시_Modal_split!J$3 * 0.01</f>
        <v>3.5576835086813773E-2</v>
      </c>
      <c r="BY40" s="207">
        <f>INDEX($A$35:$H$42,MATCH($L40,$B$35:$B$42,0),MATCH($BQ$34,$A$35:$H$35,0))*고양시_Modal_split!K$3 * 0.01</f>
        <v>1.7531291928456192E-4</v>
      </c>
      <c r="BZ40" s="207">
        <f>INDEX($A$35:$H$42,MATCH($L40,$B$35:$B$42,0),MATCH($BQ$34,$A$35:$H$35,0))*고양시_Modal_split!L$3 * 0.01</f>
        <v>3.529633441595847E-3</v>
      </c>
      <c r="CA40" s="207">
        <f>INDEX($A$35:$H$42,MATCH($L40,$B$35:$B$42,0),MATCH($BQ$34,$A$35:$H$35,0))*고양시_Modal_split!M$3 * 0.01</f>
        <v>2.6881314290299495E-4</v>
      </c>
      <c r="CB40" s="207">
        <f>INDEX($A$35:$H$42,MATCH($L40,$B$35:$B$42,0),MATCH($BQ$34,$A$35:$H$35,0))*고양시_Modal_split!N$3 * 0.01</f>
        <v>1.1687527952304129E-4</v>
      </c>
      <c r="CC40" s="207">
        <f>INDEX($A$35:$H$42,MATCH($L40,$B$35:$B$42,0),MATCH($BQ$34,$A$35:$H$35,0))*고양시_Modal_split!O$3 * 0.01</f>
        <v>2.1037550314147432E-4</v>
      </c>
      <c r="CD40" s="207">
        <f>INDEX($A$35:$H$42,MATCH($L40,$B$35:$B$42,0),MATCH($BQ$34,$A$35:$H$35,0))*고양시_Modal_split!P$3 * 0.01</f>
        <v>0.11687527952304129</v>
      </c>
      <c r="CE40" s="304">
        <f t="shared" si="10"/>
        <v>1.1274655714864346</v>
      </c>
      <c r="CF40" s="304">
        <f t="shared" si="5"/>
        <v>189.37394938216795</v>
      </c>
      <c r="CG40" s="304">
        <f t="shared" si="5"/>
        <v>22.911711077706471</v>
      </c>
      <c r="CH40" s="304">
        <f t="shared" si="5"/>
        <v>36.924497466180732</v>
      </c>
      <c r="CI40" s="304">
        <f t="shared" si="5"/>
        <v>3.7045297348839985</v>
      </c>
      <c r="CJ40" s="304">
        <f t="shared" si="5"/>
        <v>4.0266627553086951E-2</v>
      </c>
      <c r="CK40" s="304">
        <f t="shared" si="5"/>
        <v>11.194122459758171</v>
      </c>
      <c r="CL40" s="304">
        <f t="shared" si="5"/>
        <v>122.57161427159669</v>
      </c>
      <c r="CM40" s="304">
        <f t="shared" si="5"/>
        <v>0.60399941329630424</v>
      </c>
      <c r="CN40" s="304">
        <f t="shared" si="5"/>
        <v>12.16052152103226</v>
      </c>
      <c r="CO40" s="304">
        <f t="shared" si="5"/>
        <v>0.92613243372099963</v>
      </c>
      <c r="CP40" s="304">
        <f t="shared" si="5"/>
        <v>0.40266627553086948</v>
      </c>
      <c r="CQ40" s="304">
        <f t="shared" si="5"/>
        <v>0.72479929595556525</v>
      </c>
      <c r="CR40" s="304">
        <f t="shared" si="5"/>
        <v>402.66627553086948</v>
      </c>
      <c r="CS40" s="305">
        <f t="shared" si="11"/>
        <v>0</v>
      </c>
      <c r="CV40" s="265"/>
      <c r="CW40" s="265" t="s">
        <v>716</v>
      </c>
      <c r="CX40" s="267">
        <f>INDEX($M$34:$Z$42,MATCH($CW40,$L$34:$L$42,0),MATCH(CX$35,$M$35:$Z$35,0))/INDEX(고양시_재차인원!$D$4:$H$35,MATCH("고양시",고양시_재차인원!$B$4:$B$35,0),MATCH($CX$34,고양시_재차인원!$D$4:$H$4,0))</f>
        <v>18.530966584938465</v>
      </c>
      <c r="CY40" s="267">
        <f>INDEX($M$34:$Z$42,MATCH($CW40,$L$34:$L$42,0),MATCH(CY$35,$M$35:$Z$35,0))/INDEX(고양시_재차인원!$K$4:$O$20,MATCH("경기도",고양시_재차인원!$K$4:$K$20,0),MATCH(CY$35,고양시_재차인원!$K$4:$O$4,0))</f>
        <v>1.5328492721296326E-4</v>
      </c>
      <c r="CZ40" s="267">
        <f>INDEX($M$34:$Z$42,MATCH($CW40,$L$34:$L$42,0),MATCH(CZ$35,$M$35:$Z$35,0))/INDEX(고양시_재차인원!$K$4:$O$20,MATCH("경기도",고양시_재차인원!$K$4:$K$20,0),MATCH(CZ$35,고양시_재차인원!$K$4:$O$4,0))</f>
        <v>4.2613209765203788E-2</v>
      </c>
      <c r="DA40" s="267">
        <f>INDEX($M$34:$Z$42,MATCH($CW40,$L$34:$L$42,0),MATCH(DA$35,$M$35:$Z$35,0))/INDEX(고양시_재차인원!$D$4:$H$35,MATCH("고양시",고양시_재차인원!$B$4:$B$35,0),MATCH($CX$34,고양시_재차인원!$D$4:$H$4,0))</f>
        <v>1.1899536271850768</v>
      </c>
      <c r="DB40" s="267">
        <f>INDEX($AA$34:$AN$42,MATCH($CW40,$L$34:$L$42,0),MATCH(DB$35,$AA$35:$AN$35,0))/INDEX(고양시_재차인원!$D$4:$H$35,MATCH("고양시",고양시_재차인원!$B$4:$B$35,0),MATCH($DB$34,고양시_재차인원!$D$4:$H$4,0))</f>
        <v>114.46182938038163</v>
      </c>
      <c r="DC40" s="267">
        <f>INDEX($AA$34:$AN$42,MATCH($CW40,$L$34:$L$42,0),MATCH(DC$35,$AA$35:$AN$35,0))/INDEX(고양시_재차인원!$K$4:$O$20,MATCH("경기도",고양시_재차인원!$K$4:$K$20,0),MATCH(DC$35,고양시_재차인원!$K$4:$O$4,0))</f>
        <v>1.1919640351822766E-3</v>
      </c>
      <c r="DD40" s="267">
        <f>INDEX($AA$34:$AN$42,MATCH($CW40,$L$34:$L$42,0),MATCH(DD$35,$AA$35:$AN$35,0))/INDEX(고양시_재차인원!$K$4:$O$20,MATCH("경기도",고양시_재차인원!$K$4:$K$20,0),MATCH(DD$35,고양시_재차인원!$K$4:$O$4,0))</f>
        <v>0.33136600178067288</v>
      </c>
      <c r="DE40" s="267">
        <f>INDEX($AA$34:$AN$42,MATCH($CW40,$L$34:$L$42,0),MATCH(DE$35,$AA$35:$AN$35,0))/INDEX(고양시_재차인원!$D$4:$H$35,MATCH("고양시",고양시_재차인원!$B$4:$B$35,0),MATCH($DB$34,고양시_재차인원!$D$4:$H$4,0))</f>
        <v>7.3500898305071765</v>
      </c>
      <c r="DF40" s="267">
        <f>INDEX($AO$34:$BB$42,MATCH($CW40,$L$34:$L$42,0),MATCH(DF$35,$AO$35:$BB$35,0))/INDEX(고양시_재차인원!$D$4:$H$35,MATCH("고양시",고양시_재차인원!$B$4:$B$35,0),MATCH($DF$34,고양시_재차인원!$D$4:$H$4,0))</f>
        <v>5.5028623194934925</v>
      </c>
      <c r="DG40" s="267">
        <f>INDEX($AO$34:$BB$42,MATCH($CW40,$L$34:$L$42,0),MATCH(DG$35,$AO$35:$BB$35,0))/INDEX(고양시_재차인원!$K$4:$O$20,MATCH("경기도",고양시_재차인원!$K$4:$K$20,0),MATCH(DG$35,고양시_재차인원!$K$4:$O$4,0))</f>
        <v>5.2834226742277605E-5</v>
      </c>
      <c r="DH40" s="267">
        <f>INDEX($AO$34:$BB$42,MATCH($CW40,$L$34:$L$42,0),MATCH(DH$35,$AO$35:$BB$35,0))/INDEX(고양시_재차인원!$K$4:$O$20,MATCH("경기도",고양시_재차인원!$K$4:$K$20,0),MATCH(DH$35,고양시_재차인원!$K$4:$O$4,0))</f>
        <v>1.4687915034353174E-2</v>
      </c>
      <c r="DI40" s="267">
        <f>INDEX($AO$34:$BB$42,MATCH($CW40,$L$34:$L$42,0),MATCH(DI$35,$AO$35:$BB$35,0))/INDEX(고양시_재차인원!$D$4:$H$35,MATCH("고양시",고양시_재차인원!$B$4:$B$35,0),MATCH($DF$34,고양시_재차인원!$D$4:$H$4,0))</f>
        <v>0.35336262396067081</v>
      </c>
      <c r="DJ40" s="267">
        <f>INDEX($BC$34:$BP$42,MATCH($CW40,$L$34:$L$42,0),MATCH(DJ$35,$BC$35:$BP$35,0))/INDEX(고양시_재차인원!$D$4:$H$35,MATCH("고양시",고양시_재차인원!$B$4:$B$35,0),MATCH($DJ$34,고양시_재차인원!$D$4:$H$4,0))</f>
        <v>1.4264648086423835E-2</v>
      </c>
      <c r="DK40" s="267">
        <f>INDEX($BC$34:$BP$42,MATCH($CW40,$L$34:$L$42,0),MATCH(DK$35,$BC$35:$BP$35,0))/INDEX(고양시_재차인원!$K$4:$O$20,MATCH("경기도",고양시_재차인원!$K$4:$K$20,0),MATCH(DK$35,고양시_재차인원!$K$4:$O$4,0))</f>
        <v>1.4327925896210905E-7</v>
      </c>
      <c r="DL40" s="267">
        <f>INDEX($BC$34:$BP$42,MATCH($CW40,$L$34:$L$42,0),MATCH(DL$35,$BC$35:$BP$35,0))/INDEX(고양시_재차인원!$K$4:$O$20,MATCH("경기도",고양시_재차인원!$K$4:$K$20,0),MATCH(DL$35,고양시_재차인원!$K$4:$O$4,0))</f>
        <v>3.9831633991466312E-5</v>
      </c>
      <c r="DM40" s="267">
        <f>INDEX($BC$34:$BP$42,MATCH($CW40,$L$34:$L$42,0),MATCH(DM$35,$BC$35:$BP$35,0))/INDEX(고양시_재차인원!$D$4:$H$35,MATCH("고양시",고양시_재차인원!$B$4:$B$35,0),MATCH($DJ$34,고양시_재차인원!$D$4:$H$4,0))</f>
        <v>9.1599483778439269E-4</v>
      </c>
      <c r="DN40" s="267">
        <f>INDEX($BQ$34:$CD$42,MATCH($CW40,$L$34:$L$42,0),MATCH(DN$35,$BQ$35:$CD$35,0))/INDEX(고양시_재차인원!$D$4:$H$35,MATCH("고양시",고양시_재차인원!$B$4:$B$35,0),MATCH($DN$34,고양시_재차인원!$D$4:$H$4,0))</f>
        <v>4.3624161872766923E-2</v>
      </c>
      <c r="DO40" s="267">
        <f>INDEX($BQ$34:$CD$42,MATCH($CW40,$L$34:$L$42,0),MATCH(DO$35,$BQ$35:$CD$35,0))/INDEX(고양시_재차인원!$K$4:$O$20,MATCH("경기도",고양시_재차인원!$K$4:$K$20,0),MATCH(DO$35,고양시_재차인원!$K$4:$O$4,0))</f>
        <v>4.0595790039264087E-7</v>
      </c>
      <c r="DP40" s="267">
        <f>INDEX($BQ$34:$CD$42,MATCH($CW40,$L$34:$L$42,0),MATCH(DP$35,$BQ$35:$CD$35,0))/INDEX(고양시_재차인원!$K$4:$O$20,MATCH("경기도",고양시_재차인원!$K$4:$K$20,0),MATCH(DP$35,고양시_재차인원!$K$4:$O$4,0))</f>
        <v>1.1285629630915415E-4</v>
      </c>
      <c r="DQ40" s="267">
        <f>INDEX($BQ$34:$CD$42,MATCH($CW40,$L$34:$L$42,0),MATCH(DQ$35,$BQ$35:$CD$35,0))/INDEX(고양시_재차인원!$D$4:$H$35,MATCH("고양시",고양시_재차인원!$B$4:$B$35,0),MATCH($DN$34,고양시_재차인원!$D$4:$H$4,0))</f>
        <v>2.8012963822189262E-3</v>
      </c>
      <c r="DR40" s="270">
        <f t="shared" si="12"/>
        <v>138.55354709477277</v>
      </c>
      <c r="DS40" s="270">
        <f t="shared" si="6"/>
        <v>1.3986324262968721E-3</v>
      </c>
      <c r="DT40" s="270">
        <f t="shared" si="6"/>
        <v>0.38881981451053044</v>
      </c>
      <c r="DU40" s="270">
        <f t="shared" si="6"/>
        <v>8.897123372872926</v>
      </c>
      <c r="DW40" s="278"/>
      <c r="DX40" s="278" t="s">
        <v>716</v>
      </c>
      <c r="DY40" s="281">
        <f t="shared" si="13"/>
        <v>147.45067046764569</v>
      </c>
      <c r="DZ40" s="281">
        <f t="shared" si="14"/>
        <v>0.39021844693682733</v>
      </c>
      <c r="EB40" s="278"/>
      <c r="EC40" s="278" t="s">
        <v>673</v>
      </c>
      <c r="ED40" s="281">
        <f t="shared" si="15"/>
        <v>147.45067046764569</v>
      </c>
      <c r="EE40" s="281">
        <f t="shared" si="7"/>
        <v>0.39021844693682733</v>
      </c>
    </row>
    <row r="41" spans="1:157" ht="37.5">
      <c r="A41" s="205" t="s">
        <v>702</v>
      </c>
      <c r="B41" s="205" t="s">
        <v>721</v>
      </c>
      <c r="C41" s="400">
        <f>$D13*KTDB_TripDistribution_2045!L$12 * (1+KTDB_발생량도착량_증가율!$C$8) * (1+KTDB_발생량도착량_증가율!$D$7*5) * (1+KTDB_발생량도착량_증가율!$E$7*5) * (1+KTDB_발생량도착량_증가율!$F$7*5) * (1+KTDB_발생량도착량_증가율!$G$7*5)</f>
        <v>5.1195743091197334</v>
      </c>
      <c r="D41" s="400">
        <f>$D13*KTDB_TripDistribution_2045!M$12 * (1+KTDB_발생량도착량_증가율!$C$8) * (1+KTDB_발생량도착량_증가율!$D$7*5) * (1+KTDB_발생량도착량_증가율!$E$7*5) * (1+KTDB_발생량도착량_증가율!$F$7*5) * (1+KTDB_발생량도착량_증가율!$G$7*5)</f>
        <v>39.810492543964898</v>
      </c>
      <c r="E41" s="400">
        <f>$D13*KTDB_TripDistribution_2045!N$12 * (1+KTDB_발생량도착량_증가율!$C$8) * (1+KTDB_발생량도착량_증가율!$D$7*5) * (1+KTDB_발생량도착량_증가율!$E$7*5) * (1+KTDB_발생량도착량_증가율!$F$7*5) * (1+KTDB_발생량도착량_증가율!$G$7*5)</f>
        <v>1.7646141391069281</v>
      </c>
      <c r="F41" s="400">
        <f>$D13*KTDB_TripDistribution_2045!O$12 * (1+KTDB_발생량도착량_증가율!$C$8) * (1+KTDB_발생량도착량_증가율!$D$7*5) * (1+KTDB_발생량도착량_증가율!$E$7*5) * (1+KTDB_발생량도착량_증가율!$F$7*5) * (1+KTDB_발생량도착량_증가율!$G$7*5)</f>
        <v>4.785394275544223E-3</v>
      </c>
      <c r="G41" s="400">
        <f>$D13*KTDB_TripDistribution_2045!P$12 * (1+KTDB_발생량도착량_증가율!$C$8) * (1+KTDB_발생량도착량_증가율!$D$7*5) * (1+KTDB_발생량도착량_증가율!$E$7*5) * (1+KTDB_발생량도착량_증가율!$F$7*5) * (1+KTDB_발생량도착량_증가율!$G$7*5)</f>
        <v>1.3558617114041917E-2</v>
      </c>
      <c r="H41" s="400">
        <f>$D13*KTDB_TripDistribution_2045!Q$12 * (1+KTDB_발생량도착량_증가율!$C$8) * (1+KTDB_발생량도착량_증가율!$D$7*5) * (1+KTDB_발생량도착량_증가율!$E$7*5) * (1+KTDB_발생량도착량_증가율!$F$7*5) * (1+KTDB_발생량도착량_증가율!$G$7*5)</f>
        <v>46.713025003581151</v>
      </c>
      <c r="K41" s="206"/>
      <c r="L41" s="206" t="s">
        <v>720</v>
      </c>
      <c r="M41" s="206">
        <f>INDEX($A$35:$H$42,MATCH($L41,$B$35:$B$42,0),MATCH($M$34,$A$35:$H$35,0))*고양시_Modal_split!C$3 * 0.01</f>
        <v>1.4334808065535252E-2</v>
      </c>
      <c r="N41" s="206">
        <f>INDEX($A$35:$H$42,MATCH($L41,$B$35:$B$42,0),MATCH($M$34,$A$35:$H$35,0))*고양시_Modal_split!D$3 * 0.01</f>
        <v>2.407735797579011</v>
      </c>
      <c r="O41" s="206">
        <f>INDEX($A$35:$H$42,MATCH($L41,$B$35:$B$42,0),MATCH($M$34,$A$35:$H$35,0))*고양시_Modal_split!E$3 * 0.01</f>
        <v>0.29130377818891279</v>
      </c>
      <c r="P41" s="206">
        <f>INDEX($A$35:$H$42,MATCH($L41,$B$35:$B$42,0),MATCH($M$34,$A$35:$H$35,0))*고양시_Modal_split!F$3 * 0.01</f>
        <v>0.46946496414627958</v>
      </c>
      <c r="Q41" s="206">
        <f>INDEX($A$35:$H$42,MATCH($L41,$B$35:$B$42,0),MATCH($M$34,$A$35:$H$35,0))*고양시_Modal_split!G$3 * 0.01</f>
        <v>4.7100083643901551E-2</v>
      </c>
      <c r="R41" s="206">
        <f>INDEX($A$35:$H$42,MATCH($L41,$B$35:$B$42,0),MATCH($M$34,$A$35:$H$35,0))*고양시_Modal_split!H$3 * 0.01</f>
        <v>5.1195743091197337E-4</v>
      </c>
      <c r="S41" s="206">
        <f>INDEX($A$35:$H$42,MATCH($L41,$B$35:$B$42,0),MATCH($M$34,$A$35:$H$35,0))*고양시_Modal_split!I$3 * 0.01</f>
        <v>0.14232416579352858</v>
      </c>
      <c r="T41" s="206">
        <f>INDEX($A$35:$H$42,MATCH($L41,$B$35:$B$42,0),MATCH($M$34,$A$35:$H$35,0))*고양시_Modal_split!J$3 * 0.01</f>
        <v>1.558398419696047</v>
      </c>
      <c r="U41" s="206">
        <f>INDEX($A$35:$H$42,MATCH($L41,$B$35:$B$42,0),MATCH($M$34,$A$35:$H$35,0))*고양시_Modal_split!K$3 * 0.01</f>
        <v>7.6793614636796008E-3</v>
      </c>
      <c r="V41" s="206">
        <f>INDEX($A$35:$H$42,MATCH($L41,$B$35:$B$42,0),MATCH($M$34,$A$35:$H$35,0))*고양시_Modal_split!L$3 * 0.01</f>
        <v>0.15461114413541596</v>
      </c>
      <c r="W41" s="206">
        <f>INDEX($A$35:$H$42,MATCH($L41,$B$35:$B$42,0),MATCH($M$34,$A$35:$H$35,0))*고양시_Modal_split!M$3 * 0.01</f>
        <v>1.1775020910975388E-2</v>
      </c>
      <c r="X41" s="206">
        <f>INDEX($A$35:$H$42,MATCH($L41,$B$35:$B$42,0),MATCH($M$34,$A$35:$H$35,0))*고양시_Modal_split!N$3 * 0.01</f>
        <v>5.1195743091197333E-3</v>
      </c>
      <c r="Y41" s="206">
        <f>INDEX($A$35:$H$42,MATCH($L41,$B$35:$B$42,0),MATCH($M$34,$A$35:$H$35,0))*고양시_Modal_split!O$3 * 0.01</f>
        <v>9.2152337564155203E-3</v>
      </c>
      <c r="Z41" s="209">
        <f>INDEX($A$35:$H$42,MATCH($L41,$B$35:$B$42,0),MATCH($M$34,$A$35:$H$35,0))*고양시_Modal_split!P$3 * 0.01</f>
        <v>5.1195743091197334</v>
      </c>
      <c r="AA41" s="207">
        <f>INDEX($A$35:$H$42,MATCH($L41,$B$35:$B$42,0),MATCH($AA$34,$A$35:$H$35,0))*고양시_Modal_split!C$3 * 0.01</f>
        <v>0.1114693791231017</v>
      </c>
      <c r="AB41" s="207">
        <f>INDEX($A$35:$H$42,MATCH($L41,$B$35:$B$42,0),MATCH($AA$34,$A$35:$H$35,0))*고양시_Modal_split!D$3 * 0.01</f>
        <v>18.722874643426692</v>
      </c>
      <c r="AC41" s="207">
        <f>INDEX($A$35:$H$42,MATCH($L41,$B$35:$B$42,0),MATCH($AA$34,$A$35:$H$35,0))*고양시_Modal_split!E$3 * 0.01</f>
        <v>2.2652170257516024</v>
      </c>
      <c r="AD41" s="207">
        <f>INDEX($A$35:$H$42,MATCH($L41,$B$35:$B$42,0),MATCH($AA$34,$A$35:$H$35,0))*고양시_Modal_split!F$3 * 0.01</f>
        <v>3.6506221662815812</v>
      </c>
      <c r="AE41" s="207">
        <f>INDEX($A$35:$H$42,MATCH($L41,$B$35:$B$42,0),MATCH($AA$34,$A$35:$H$35,0))*고양시_Modal_split!G$3 * 0.01</f>
        <v>0.36625653140447706</v>
      </c>
      <c r="AF41" s="207">
        <f>INDEX($A$35:$H$42,MATCH($L41,$B$35:$B$42,0),MATCH($AA$34,$A$35:$H$35,0))*고양시_Modal_split!H$3 * 0.01</f>
        <v>3.9810492543964895E-3</v>
      </c>
      <c r="AG41" s="207">
        <f>INDEX($A$35:$H$42,MATCH($L41,$B$35:$B$42,0),MATCH($AA$34,$A$35:$H$35,0))*고양시_Modal_split!I$3 * 0.01</f>
        <v>1.1067316927222242</v>
      </c>
      <c r="AH41" s="207">
        <f>INDEX($A$35:$H$42,MATCH($L41,$B$35:$B$42,0),MATCH($AA$34,$A$35:$H$35,0))*고양시_Modal_split!J$3 * 0.01</f>
        <v>12.118313930382914</v>
      </c>
      <c r="AI41" s="207">
        <f>INDEX($A$35:$H$42,MATCH($L41,$B$35:$B$42,0),MATCH($AA$34,$A$35:$H$35,0))*고양시_Modal_split!K$3 * 0.01</f>
        <v>5.9715738815947342E-2</v>
      </c>
      <c r="AJ41" s="207">
        <f>INDEX($A$35:$H$42,MATCH($L41,$B$35:$B$42,0),MATCH($AA$34,$A$35:$H$35,0))*고양시_Modal_split!L$3 * 0.01</f>
        <v>1.2022768748277399</v>
      </c>
      <c r="AK41" s="207">
        <f>INDEX($A$35:$H$42,MATCH($L41,$B$35:$B$42,0),MATCH($AA$34,$A$35:$H$35,0))*고양시_Modal_split!M$3 * 0.01</f>
        <v>9.1564132851119265E-2</v>
      </c>
      <c r="AL41" s="207">
        <f>INDEX($A$35:$H$42,MATCH($L41,$B$35:$B$42,0),MATCH($AA$34,$A$35:$H$35,0))*고양시_Modal_split!N$3 * 0.01</f>
        <v>3.9810492543964904E-2</v>
      </c>
      <c r="AM41" s="207">
        <f>INDEX($A$35:$H$42,MATCH($L41,$B$35:$B$42,0),MATCH($AA$34,$A$35:$H$35,0))*고양시_Modal_split!O$3 * 0.01</f>
        <v>7.1658886579136813E-2</v>
      </c>
      <c r="AN41" s="207">
        <f>INDEX($A$35:$H$42,MATCH($L41,$B$35:$B$42,0),MATCH($AA$34,$A$35:$H$35,0))*고양시_Modal_split!P$3 * 0.01</f>
        <v>39.810492543964898</v>
      </c>
      <c r="AO41" s="303">
        <f>INDEX($A$35:$H$42,MATCH($L41,$B$35:$B$42,0),MATCH($AO$34,$A$35:$H$35,0))*고양시_Modal_split!C$3 * 0.01</f>
        <v>4.9409195894993983E-3</v>
      </c>
      <c r="AP41" s="303">
        <f>INDEX($A$35:$H$42,MATCH($L41,$B$35:$B$42,0),MATCH($AO$34,$A$35:$H$35,0))*고양시_Modal_split!D$3 * 0.01</f>
        <v>0.82989802962198844</v>
      </c>
      <c r="AQ41" s="303">
        <f>INDEX($A$35:$H$42,MATCH($L41,$B$35:$B$42,0),MATCH($AO$34,$A$35:$H$35,0))*고양시_Modal_split!E$3 * 0.01</f>
        <v>0.10040654451518422</v>
      </c>
      <c r="AR41" s="303">
        <f>INDEX($A$35:$H$42,MATCH($L41,$B$35:$B$42,0),MATCH($AO$34,$A$35:$H$35,0))*고양시_Modal_split!F$3 * 0.01</f>
        <v>0.16181511655610531</v>
      </c>
      <c r="AS41" s="303">
        <f>INDEX($A$35:$H$42,MATCH($L41,$B$35:$B$42,0),MATCH($AO$34,$A$35:$H$35,0))*고양시_Modal_split!G$3 * 0.01</f>
        <v>1.623445007978374E-2</v>
      </c>
      <c r="AT41" s="303">
        <f>INDEX($A$35:$H$42,MATCH($L41,$B$35:$B$42,0),MATCH($AO$34,$A$35:$H$35,0))*고양시_Modal_split!H$3 * 0.01</f>
        <v>1.7646141391069282E-4</v>
      </c>
      <c r="AU41" s="303">
        <f>INDEX($A$35:$H$42,MATCH($L41,$B$35:$B$42,0),MATCH($AO$34,$A$35:$H$35,0))*고양시_Modal_split!I$3 * 0.01</f>
        <v>4.9056273067172598E-2</v>
      </c>
      <c r="AV41" s="303">
        <f>INDEX($A$35:$H$42,MATCH($L41,$B$35:$B$42,0),MATCH($AO$34,$A$35:$H$35,0))*고양시_Modal_split!J$3 * 0.01</f>
        <v>0.5371485439441489</v>
      </c>
      <c r="AW41" s="303">
        <f>INDEX($A$35:$H$42,MATCH($L41,$B$35:$B$42,0),MATCH($AO$34,$A$35:$H$35,0))*고양시_Modal_split!K$3 * 0.01</f>
        <v>2.6469212086603923E-3</v>
      </c>
      <c r="AX41" s="303">
        <f>INDEX($A$35:$H$42,MATCH($L41,$B$35:$B$42,0),MATCH($AO$34,$A$35:$H$35,0))*고양시_Modal_split!L$3 * 0.01</f>
        <v>5.3291347001029228E-2</v>
      </c>
      <c r="AY41" s="303">
        <f>INDEX($A$35:$H$42,MATCH($L41,$B$35:$B$42,0),MATCH($AO$34,$A$35:$H$35,0))*고양시_Modal_split!M$3 * 0.01</f>
        <v>4.0586125199459349E-3</v>
      </c>
      <c r="AZ41" s="303">
        <f>INDEX($A$35:$H$42,MATCH($L41,$B$35:$B$42,0),MATCH($AO$34,$A$35:$H$35,0))*고양시_Modal_split!N$3 * 0.01</f>
        <v>1.7646141391069281E-3</v>
      </c>
      <c r="BA41" s="207">
        <f>INDEX($A$35:$H$42,MATCH($L41,$B$35:$B$42,0),MATCH($AO$34,$A$35:$H$35,0))*고양시_Modal_split!O$3 * 0.01</f>
        <v>3.1763054503924706E-3</v>
      </c>
      <c r="BB41" s="207">
        <f>INDEX($A$35:$H$42,MATCH($L41,$B$35:$B$42,0),MATCH($AO$34,$A$35:$H$35,0))*고양시_Modal_split!P$3 * 0.01</f>
        <v>1.7646141391069281</v>
      </c>
      <c r="BC41" s="207">
        <f>INDEX($A$35:$H$42,MATCH($L41,$B$35:$B$42,0),MATCH($BC$34,$A$35:$H$35,0))*고양시_Modal_split!C$3 * 0.01</f>
        <v>1.3399103971523824E-5</v>
      </c>
      <c r="BD41" s="207">
        <f>INDEX($A$35:$H$42,MATCH($L41,$B$35:$B$42,0),MATCH($BC$34,$A$35:$H$35,0))*고양시_Modal_split!D$3 * 0.01</f>
        <v>2.250570927788448E-3</v>
      </c>
      <c r="BE41" s="207">
        <f>INDEX($A$35:$H$42,MATCH($L41,$B$35:$B$42,0),MATCH($BC$34,$A$35:$H$35,0))*고양시_Modal_split!E$3 * 0.01</f>
        <v>2.7228893427846626E-4</v>
      </c>
      <c r="BF41" s="207">
        <f>INDEX($A$35:$H$42,MATCH($L41,$B$35:$B$42,0),MATCH($BC$34,$A$35:$H$35,0))*고양시_Modal_split!F$3 * 0.01</f>
        <v>4.3882065506740524E-4</v>
      </c>
      <c r="BG41" s="207">
        <f>INDEX($A$35:$H$42,MATCH($L41,$B$35:$B$42,0),MATCH($BC$34,$A$35:$H$35,0))*고양시_Modal_split!G$3 * 0.01</f>
        <v>4.4025627335006851E-5</v>
      </c>
      <c r="BH41" s="207">
        <f>INDEX($A$35:$H$42,MATCH($L41,$B$35:$B$42,0),MATCH($BC$34,$A$35:$H$35,0))*고양시_Modal_split!H$3 * 0.01</f>
        <v>4.7853942755442238E-7</v>
      </c>
      <c r="BI41" s="207">
        <f>INDEX($A$35:$H$42,MATCH($L41,$B$35:$B$42,0),MATCH($BC$34,$A$35:$H$35,0))*고양시_Modal_split!I$3 * 0.01</f>
        <v>1.3303396086012938E-4</v>
      </c>
      <c r="BJ41" s="207">
        <f>INDEX($A$35:$H$42,MATCH($L41,$B$35:$B$42,0),MATCH($BC$34,$A$35:$H$35,0))*고양시_Modal_split!J$3 * 0.01</f>
        <v>1.4566740174756616E-3</v>
      </c>
      <c r="BK41" s="207">
        <f>INDEX($A$35:$H$42,MATCH($L41,$B$35:$B$42,0),MATCH($BC$34,$A$35:$H$35,0))*고양시_Modal_split!K$3 * 0.01</f>
        <v>7.1780914133163338E-6</v>
      </c>
      <c r="BL41" s="207">
        <f>INDEX($A$35:$H$42,MATCH($L41,$B$35:$B$42,0),MATCH($BC$34,$A$35:$H$35,0))*고양시_Modal_split!L$3 * 0.01</f>
        <v>1.4451890712143553E-4</v>
      </c>
      <c r="BM41" s="207">
        <f>INDEX($A$35:$H$42,MATCH($L41,$B$35:$B$42,0),MATCH($BC$34,$A$35:$H$35,0))*고양시_Modal_split!M$3 * 0.01</f>
        <v>1.1006406833751713E-5</v>
      </c>
      <c r="BN41" s="207">
        <f>INDEX($A$35:$H$42,MATCH($L41,$B$35:$B$42,0),MATCH($BC$34,$A$35:$H$35,0))*고양시_Modal_split!N$3 * 0.01</f>
        <v>4.7853942755442234E-6</v>
      </c>
      <c r="BO41" s="207">
        <f>INDEX($A$35:$H$42,MATCH($L41,$B$35:$B$42,0),MATCH($BC$34,$A$35:$H$35,0))*고양시_Modal_split!O$3 * 0.01</f>
        <v>8.6137096959796016E-6</v>
      </c>
      <c r="BP41" s="207">
        <f>INDEX($A$35:$H$42,MATCH($L41,$B$35:$B$42,0),MATCH($BC$34,$A$35:$H$35,0))*고양시_Modal_split!P$3 * 0.01</f>
        <v>4.785394275544223E-3</v>
      </c>
      <c r="BQ41" s="207">
        <f>INDEX($A$35:$H$42,MATCH($L41,$B$35:$B$42,0),MATCH($BQ$34,$A$35:$H$35,0))*고양시_Modal_split!C$3 * 0.01</f>
        <v>3.7964127919317362E-5</v>
      </c>
      <c r="BR41" s="207">
        <f>INDEX($A$35:$H$42,MATCH($L41,$B$35:$B$42,0),MATCH($BQ$34,$A$35:$H$35,0))*고양시_Modal_split!D$3 * 0.01</f>
        <v>6.3766176287339141E-3</v>
      </c>
      <c r="BS41" s="207">
        <f>INDEX($A$35:$H$42,MATCH($L41,$B$35:$B$42,0),MATCH($BQ$34,$A$35:$H$35,0))*고양시_Modal_split!E$3 * 0.01</f>
        <v>7.7148531378898506E-4</v>
      </c>
      <c r="BT41" s="207">
        <f>INDEX($A$35:$H$42,MATCH($L41,$B$35:$B$42,0),MATCH($BQ$34,$A$35:$H$35,0))*고양시_Modal_split!F$3 * 0.01</f>
        <v>1.2433251893576437E-3</v>
      </c>
      <c r="BU41" s="207">
        <f>INDEX($A$35:$H$42,MATCH($L41,$B$35:$B$42,0),MATCH($BQ$34,$A$35:$H$35,0))*고양시_Modal_split!G$3 * 0.01</f>
        <v>1.2473927744918563E-4</v>
      </c>
      <c r="BV41" s="207">
        <f>INDEX($A$35:$H$42,MATCH($L41,$B$35:$B$42,0),MATCH($BQ$34,$A$35:$H$35,0))*고양시_Modal_split!H$3 * 0.01</f>
        <v>1.3558617114041918E-6</v>
      </c>
      <c r="BW41" s="207">
        <f>INDEX($A$35:$H$42,MATCH($L41,$B$35:$B$42,0),MATCH($BQ$34,$A$35:$H$35,0))*고양시_Modal_split!I$3 * 0.01</f>
        <v>3.7692955577036524E-4</v>
      </c>
      <c r="BX41" s="207">
        <f>INDEX($A$35:$H$42,MATCH($L41,$B$35:$B$42,0),MATCH($BQ$34,$A$35:$H$35,0))*고양시_Modal_split!J$3 * 0.01</f>
        <v>4.1272430495143597E-3</v>
      </c>
      <c r="BY41" s="207">
        <f>INDEX($A$35:$H$42,MATCH($L41,$B$35:$B$42,0),MATCH($BQ$34,$A$35:$H$35,0))*고양시_Modal_split!K$3 * 0.01</f>
        <v>2.0337925671062875E-5</v>
      </c>
      <c r="BZ41" s="207">
        <f>INDEX($A$35:$H$42,MATCH($L41,$B$35:$B$42,0),MATCH($BQ$34,$A$35:$H$35,0))*고양시_Modal_split!L$3 * 0.01</f>
        <v>4.0947023684406589E-4</v>
      </c>
      <c r="CA41" s="207">
        <f>INDEX($A$35:$H$42,MATCH($L41,$B$35:$B$42,0),MATCH($BQ$34,$A$35:$H$35,0))*고양시_Modal_split!M$3 * 0.01</f>
        <v>3.1184819362296407E-5</v>
      </c>
      <c r="CB41" s="207">
        <f>INDEX($A$35:$H$42,MATCH($L41,$B$35:$B$42,0),MATCH($BQ$34,$A$35:$H$35,0))*고양시_Modal_split!N$3 * 0.01</f>
        <v>1.3558617114041918E-5</v>
      </c>
      <c r="CC41" s="207">
        <f>INDEX($A$35:$H$42,MATCH($L41,$B$35:$B$42,0),MATCH($BQ$34,$A$35:$H$35,0))*고양시_Modal_split!O$3 * 0.01</f>
        <v>2.4405510805275452E-5</v>
      </c>
      <c r="CD41" s="207">
        <f>INDEX($A$35:$H$42,MATCH($L41,$B$35:$B$42,0),MATCH($BQ$34,$A$35:$H$35,0))*고양시_Modal_split!P$3 * 0.01</f>
        <v>1.3558617114041919E-2</v>
      </c>
      <c r="CE41" s="304">
        <f t="shared" si="10"/>
        <v>0.1307964700100272</v>
      </c>
      <c r="CF41" s="304">
        <f t="shared" si="5"/>
        <v>21.969135659184218</v>
      </c>
      <c r="CG41" s="304">
        <f t="shared" si="5"/>
        <v>2.657971122703767</v>
      </c>
      <c r="CH41" s="304">
        <f t="shared" si="5"/>
        <v>4.2835843928283905</v>
      </c>
      <c r="CI41" s="304">
        <f t="shared" si="5"/>
        <v>0.42975983003294654</v>
      </c>
      <c r="CJ41" s="304">
        <f t="shared" si="5"/>
        <v>4.6713025003581148E-3</v>
      </c>
      <c r="CK41" s="304">
        <f t="shared" si="5"/>
        <v>1.2986220950995557</v>
      </c>
      <c r="CL41" s="304">
        <f t="shared" si="5"/>
        <v>14.219444811090101</v>
      </c>
      <c r="CM41" s="304">
        <f t="shared" si="5"/>
        <v>7.0069537505371718E-2</v>
      </c>
      <c r="CN41" s="304">
        <f t="shared" si="5"/>
        <v>1.4107333551081505</v>
      </c>
      <c r="CO41" s="304">
        <f t="shared" si="5"/>
        <v>0.10743995750823664</v>
      </c>
      <c r="CP41" s="304">
        <f t="shared" si="5"/>
        <v>4.6713025003581148E-2</v>
      </c>
      <c r="CQ41" s="304">
        <f t="shared" si="5"/>
        <v>8.4083445006446045E-2</v>
      </c>
      <c r="CR41" s="304">
        <f t="shared" si="5"/>
        <v>46.713025003581144</v>
      </c>
      <c r="CS41" s="305">
        <f t="shared" si="11"/>
        <v>0</v>
      </c>
      <c r="CV41" s="267"/>
      <c r="CW41" s="267" t="s">
        <v>720</v>
      </c>
      <c r="CX41" s="267">
        <f>INDEX($M$34:$Z$42,MATCH($CW41,$L$34:$L$42,0),MATCH(CX$35,$M$35:$Z$35,0))/INDEX(고양시_재차인원!$D$4:$H$35,MATCH("고양시",고양시_재차인원!$B$4:$B$35,0),MATCH($CX$34,고양시_재차인원!$D$4:$H$4,0))</f>
        <v>2.1497641049812595</v>
      </c>
      <c r="CY41" s="267">
        <f>INDEX($M$34:$Z$42,MATCH($CW41,$L$34:$L$42,0),MATCH(CY$35,$M$35:$Z$35,0))/INDEX(고양시_재차인원!$K$4:$O$20,MATCH("경기도",고양시_재차인원!$K$4:$K$20,0),MATCH(CY$35,고양시_재차인원!$K$4:$O$4,0))</f>
        <v>1.7782474154636104E-5</v>
      </c>
      <c r="CZ41" s="267">
        <f>INDEX($M$34:$Z$42,MATCH($CW41,$L$34:$L$42,0),MATCH(CZ$35,$M$35:$Z$35,0))/INDEX(고양시_재차인원!$K$4:$O$20,MATCH("경기도",고양시_재차인원!$K$4:$K$20,0),MATCH(CZ$35,고양시_재차인원!$K$4:$O$4,0))</f>
        <v>4.9435278149888356E-3</v>
      </c>
      <c r="DA41" s="267">
        <f>INDEX($M$34:$Z$42,MATCH($CW41,$L$34:$L$42,0),MATCH(DA$35,$M$35:$Z$35,0))/INDEX(고양시_재차인원!$D$4:$H$35,MATCH("고양시",고양시_재차인원!$B$4:$B$35,0),MATCH($CX$34,고양시_재차인원!$D$4:$H$4,0))</f>
        <v>0.13804566440662139</v>
      </c>
      <c r="DB41" s="267">
        <f>INDEX($AA$34:$AN$42,MATCH($CW41,$L$34:$L$42,0),MATCH(DB$35,$AA$35:$AN$35,0))/INDEX(고양시_재차인원!$D$4:$H$35,MATCH("고양시",고양시_재차인원!$B$4:$B$35,0),MATCH($DB$34,고양시_재차인원!$D$4:$H$4,0))</f>
        <v>13.27863449888418</v>
      </c>
      <c r="DC41" s="267">
        <f>INDEX($AA$34:$AN$42,MATCH($CW41,$L$34:$L$42,0),MATCH(DC$35,$AA$35:$AN$35,0))/INDEX(고양시_재차인원!$K$4:$O$20,MATCH("경기도",고양시_재차인원!$K$4:$K$20,0),MATCH(DC$35,고양시_재차인원!$K$4:$O$4,0))</f>
        <v>1.3827889039237548E-4</v>
      </c>
      <c r="DD41" s="267">
        <f>INDEX($AA$34:$AN$42,MATCH($CW41,$L$34:$L$42,0),MATCH(DD$35,$AA$35:$AN$35,0))/INDEX(고양시_재차인원!$K$4:$O$20,MATCH("경기도",고양시_재차인원!$K$4:$K$20,0),MATCH(DD$35,고양시_재차인원!$K$4:$O$4,0))</f>
        <v>3.8441531529080385E-2</v>
      </c>
      <c r="DE41" s="267">
        <f>INDEX($AA$34:$AN$42,MATCH($CW41,$L$34:$L$42,0),MATCH(DE$35,$AA$35:$AN$35,0))/INDEX(고양시_재차인원!$D$4:$H$35,MATCH("고양시",고양시_재차인원!$B$4:$B$35,0),MATCH($DB$34,고양시_재차인원!$D$4:$H$4,0))</f>
        <v>0.85267863462960281</v>
      </c>
      <c r="DF41" s="267">
        <f>INDEX($AO$34:$BB$42,MATCH($CW41,$L$34:$L$42,0),MATCH(DF$35,$AO$35:$BB$35,0))/INDEX(고양시_재차인원!$D$4:$H$35,MATCH("고양시",고양시_재차인원!$B$4:$B$35,0),MATCH($DF$34,고양시_재차인원!$D$4:$H$4,0))</f>
        <v>0.6383830997092218</v>
      </c>
      <c r="DG41" s="267">
        <f>INDEX($AO$34:$BB$42,MATCH($CW41,$L$34:$L$42,0),MATCH(DG$35,$AO$35:$BB$35,0))/INDEX(고양시_재차인원!$K$4:$O$20,MATCH("경기도",고양시_재차인원!$K$4:$K$20,0),MATCH(DG$35,고양시_재차인원!$K$4:$O$4,0))</f>
        <v>6.1292606429556379E-6</v>
      </c>
      <c r="DH41" s="267">
        <f>INDEX($AO$34:$BB$42,MATCH($CW41,$L$34:$L$42,0),MATCH(DH$35,$AO$35:$BB$35,0))/INDEX(고양시_재차인원!$K$4:$O$20,MATCH("경기도",고양시_재차인원!$K$4:$K$20,0),MATCH(DH$35,고양시_재차인원!$K$4:$O$4,0))</f>
        <v>1.7039344587416673E-3</v>
      </c>
      <c r="DI41" s="267">
        <f>INDEX($AO$34:$BB$42,MATCH($CW41,$L$34:$L$42,0),MATCH(DI$35,$AO$35:$BB$35,0))/INDEX(고양시_재차인원!$D$4:$H$35,MATCH("고양시",고양시_재차인원!$B$4:$B$35,0),MATCH($DF$34,고양시_재차인원!$D$4:$H$4,0))</f>
        <v>4.0993343846945557E-2</v>
      </c>
      <c r="DJ41" s="267">
        <f>INDEX($BC$34:$BP$42,MATCH($CW41,$L$34:$L$42,0),MATCH(DJ$35,$BC$35:$BP$35,0))/INDEX(고양시_재차인원!$D$4:$H$35,MATCH("고양시",고양시_재차인원!$B$4:$B$35,0),MATCH($DJ$34,고양시_재차인원!$D$4:$H$4,0))</f>
        <v>1.6548315645503293E-3</v>
      </c>
      <c r="DK41" s="267">
        <f>INDEX($BC$34:$BP$42,MATCH($CW41,$L$34:$L$42,0),MATCH(DK$35,$BC$35:$BP$35,0))/INDEX(고양시_재차인원!$K$4:$O$20,MATCH("경기도",고양시_재차인원!$K$4:$K$20,0),MATCH(DK$35,고양시_재차인원!$K$4:$O$4,0))</f>
        <v>1.6621723777506858E-8</v>
      </c>
      <c r="DL41" s="267">
        <f>INDEX($BC$34:$BP$42,MATCH($CW41,$L$34:$L$42,0),MATCH(DL$35,$BC$35:$BP$35,0))/INDEX(고양시_재차인원!$K$4:$O$20,MATCH("경기도",고양시_재차인원!$K$4:$K$20,0),MATCH(DL$35,고양시_재차인원!$K$4:$O$4,0))</f>
        <v>4.6208392101469048E-6</v>
      </c>
      <c r="DM41" s="267">
        <f>INDEX($BC$34:$BP$42,MATCH($CW41,$L$34:$L$42,0),MATCH(DM$35,$BC$35:$BP$35,0))/INDEX(고양시_재차인원!$D$4:$H$35,MATCH("고양시",고양시_재차인원!$B$4:$B$35,0),MATCH($DJ$34,고양시_재차인원!$D$4:$H$4,0))</f>
        <v>1.0626390229517317E-4</v>
      </c>
      <c r="DN41" s="267">
        <f>INDEX($BQ$34:$CD$42,MATCH($CW41,$L$34:$L$42,0),MATCH(DN$35,$BQ$35:$CD$35,0))/INDEX(고양시_재차인원!$D$4:$H$35,MATCH("고양시",고양시_재차인원!$B$4:$B$35,0),MATCH($DN$34,고양시_재차인원!$D$4:$H$4,0))</f>
        <v>5.0608076418523131E-3</v>
      </c>
      <c r="DO41" s="267">
        <f>INDEX($BQ$34:$CD$42,MATCH($CW41,$L$34:$L$42,0),MATCH(DO$35,$BQ$35:$CD$35,0))/INDEX(고양시_재차인원!$K$4:$O$20,MATCH("경기도",고양시_재차인원!$K$4:$K$20,0),MATCH(DO$35,고양시_재차인원!$K$4:$O$4,0))</f>
        <v>4.7094884036269251E-8</v>
      </c>
      <c r="DP41" s="267">
        <f>INDEX($BQ$34:$CD$42,MATCH($CW41,$L$34:$L$42,0),MATCH(DP$35,$BQ$35:$CD$35,0))/INDEX(고양시_재차인원!$K$4:$O$20,MATCH("경기도",고양시_재차인원!$K$4:$K$20,0),MATCH(DP$35,고양시_재차인원!$K$4:$O$4,0))</f>
        <v>1.309237776208285E-5</v>
      </c>
      <c r="DQ41" s="267">
        <f>INDEX($BQ$34:$CD$42,MATCH($CW41,$L$34:$L$42,0),MATCH(DQ$35,$BQ$35:$CD$35,0))/INDEX(고양시_재차인원!$D$4:$H$35,MATCH("고양시",고양시_재차인원!$B$4:$B$35,0),MATCH($DN$34,고양시_재차인원!$D$4:$H$4,0))</f>
        <v>3.2497637844767135E-4</v>
      </c>
      <c r="DR41" s="270">
        <f t="shared" si="12"/>
        <v>16.073497342781064</v>
      </c>
      <c r="DS41" s="270">
        <f t="shared" si="6"/>
        <v>1.6225434179778099E-4</v>
      </c>
      <c r="DT41" s="270">
        <f t="shared" si="6"/>
        <v>4.5106707019783122E-2</v>
      </c>
      <c r="DU41" s="270">
        <f t="shared" si="6"/>
        <v>1.0321488831639125</v>
      </c>
      <c r="DW41" s="278"/>
      <c r="DX41" s="278" t="s">
        <v>720</v>
      </c>
      <c r="DY41" s="281">
        <f t="shared" si="13"/>
        <v>17.105646225944977</v>
      </c>
      <c r="DZ41" s="281">
        <f t="shared" si="14"/>
        <v>4.5268961361580901E-2</v>
      </c>
      <c r="EB41" s="278"/>
      <c r="EC41" s="278" t="s">
        <v>13</v>
      </c>
      <c r="ED41" s="281">
        <f t="shared" si="15"/>
        <v>17.105646225944977</v>
      </c>
      <c r="EE41" s="281">
        <f t="shared" si="7"/>
        <v>4.5268961361580901E-2</v>
      </c>
    </row>
    <row r="42" spans="1:157" ht="37.5">
      <c r="A42" s="205" t="s">
        <v>702</v>
      </c>
      <c r="B42" s="205" t="s">
        <v>723</v>
      </c>
      <c r="C42" s="400">
        <f>$D14*KTDB_TripDistribution_2045!L$12 * (1+KTDB_발생량도착량_증가율!$C$8) * (1+KTDB_발생량도착량_증가율!$D$7*5) * (1+KTDB_발생량도착량_증가율!$E$7*5) * (1+KTDB_발생량도착량_증가율!$F$7*5) * (1+KTDB_발생량도착량_증가율!$G$7*5)</f>
        <v>30.717445854718406</v>
      </c>
      <c r="D42" s="400">
        <f>$D14*KTDB_TripDistribution_2045!M$12 * (1+KTDB_발생량도착량_증가율!$C$8) * (1+KTDB_발생량도착량_증가율!$D$7*5) * (1+KTDB_발생량도착량_증가율!$E$7*5) * (1+KTDB_발생량도착량_증가율!$F$7*5) * (1+KTDB_발생량도착량_증가율!$G$7*5)</f>
        <v>238.86295526378942</v>
      </c>
      <c r="E42" s="400">
        <f>$D14*KTDB_TripDistribution_2045!N$12 * (1+KTDB_발생량도착량_증가율!$C$8) * (1+KTDB_발생량도착량_증가율!$D$7*5) * (1+KTDB_발생량도착량_증가율!$E$7*5) * (1+KTDB_발생량도착량_증가율!$F$7*5) * (1+KTDB_발생량도착량_증가율!$G$7*5)</f>
        <v>10.587684834641566</v>
      </c>
      <c r="F42" s="400">
        <f>$D14*KTDB_TripDistribution_2045!O$12 * (1+KTDB_발생량도착량_증가율!$C$8) * (1+KTDB_발생량도착량_증가율!$D$7*5) * (1+KTDB_발생량도착량_증가율!$E$7*5) * (1+KTDB_발생량도착량_증가율!$F$7*5) * (1+KTDB_발생량도착량_증가율!$G$7*5)</f>
        <v>2.8712365653265334E-2</v>
      </c>
      <c r="G42" s="400">
        <f>$D14*KTDB_TripDistribution_2045!P$12 * (1+KTDB_발생량도착량_증가율!$C$8) * (1+KTDB_발생량도착량_증가율!$D$7*5) * (1+KTDB_발생량도착량_증가율!$E$7*5) * (1+KTDB_발생량도착량_증가율!$F$7*5) * (1+KTDB_발생량도착량_증가율!$G$7*5)</f>
        <v>8.1351702684251473E-2</v>
      </c>
      <c r="H42" s="400">
        <f>$D14*KTDB_TripDistribution_2045!Q$12 * (1+KTDB_발생량도착량_증가율!$C$8) * (1+KTDB_발생량도착량_증가율!$D$7*5) * (1+KTDB_발생량도착량_증가율!$E$7*5) * (1+KTDB_발생량도착량_증가율!$F$7*5) * (1+KTDB_발생량도착량_증가율!$G$7*5)</f>
        <v>280.27815002148685</v>
      </c>
      <c r="I42" s="56"/>
      <c r="J42" s="56"/>
      <c r="K42" s="206"/>
      <c r="L42" s="206" t="s">
        <v>722</v>
      </c>
      <c r="M42" s="206">
        <f>INDEX($A$35:$H$42,MATCH($L42,$B$35:$B$42,0),MATCH($M$34,$A$35:$H$35,0))*고양시_Modal_split!C$3 * 0.01</f>
        <v>8.6008848393211532E-2</v>
      </c>
      <c r="N42" s="206">
        <f>INDEX($A$35:$H$42,MATCH($L42,$B$35:$B$42,0),MATCH($M$34,$A$35:$H$35,0))*고양시_Modal_split!D$3 * 0.01</f>
        <v>14.446414785474067</v>
      </c>
      <c r="O42" s="206">
        <f>INDEX($A$35:$H$42,MATCH($L42,$B$35:$B$42,0),MATCH($M$34,$A$35:$H$35,0))*고양시_Modal_split!E$3 * 0.01</f>
        <v>1.7478226691334771</v>
      </c>
      <c r="P42" s="206">
        <f>INDEX($A$35:$H$42,MATCH($L42,$B$35:$B$42,0),MATCH($M$34,$A$35:$H$35,0))*고양시_Modal_split!F$3 * 0.01</f>
        <v>2.8167897848776779</v>
      </c>
      <c r="Q42" s="206">
        <f>INDEX($A$35:$H$42,MATCH($L42,$B$35:$B$42,0),MATCH($M$34,$A$35:$H$35,0))*고양시_Modal_split!G$3 * 0.01</f>
        <v>0.28260050186340929</v>
      </c>
      <c r="R42" s="206">
        <f>INDEX($A$35:$H$42,MATCH($L42,$B$35:$B$42,0),MATCH($M$34,$A$35:$H$35,0))*고양시_Modal_split!H$3 * 0.01</f>
        <v>3.0717445854718407E-3</v>
      </c>
      <c r="S42" s="206">
        <f>INDEX($A$35:$H$42,MATCH($L42,$B$35:$B$42,0),MATCH($M$34,$A$35:$H$35,0))*고양시_Modal_split!I$3 * 0.01</f>
        <v>0.85394499476117158</v>
      </c>
      <c r="T42" s="206">
        <f>INDEX($A$35:$H$42,MATCH($L42,$B$35:$B$42,0),MATCH($M$34,$A$35:$H$35,0))*고양시_Modal_split!J$3 * 0.01</f>
        <v>9.3503905181762832</v>
      </c>
      <c r="U42" s="206">
        <f>INDEX($A$35:$H$42,MATCH($L42,$B$35:$B$42,0),MATCH($M$34,$A$35:$H$35,0))*고양시_Modal_split!K$3 * 0.01</f>
        <v>4.6076168782077612E-2</v>
      </c>
      <c r="V42" s="206">
        <f>INDEX($A$35:$H$42,MATCH($L42,$B$35:$B$42,0),MATCH($M$34,$A$35:$H$35,0))*고양시_Modal_split!L$3 * 0.01</f>
        <v>0.92766686481249594</v>
      </c>
      <c r="W42" s="206">
        <f>INDEX($A$35:$H$42,MATCH($L42,$B$35:$B$42,0),MATCH($M$34,$A$35:$H$35,0))*고양시_Modal_split!M$3 * 0.01</f>
        <v>7.0650125465852323E-2</v>
      </c>
      <c r="X42" s="206">
        <f>INDEX($A$35:$H$42,MATCH($L42,$B$35:$B$42,0),MATCH($M$34,$A$35:$H$35,0))*고양시_Modal_split!N$3 * 0.01</f>
        <v>3.0717445854718407E-2</v>
      </c>
      <c r="Y42" s="206">
        <f>INDEX($A$35:$H$42,MATCH($L42,$B$35:$B$42,0),MATCH($M$34,$A$35:$H$35,0))*고양시_Modal_split!O$3 * 0.01</f>
        <v>5.5291402538493128E-2</v>
      </c>
      <c r="Z42" s="209">
        <f>INDEX($A$35:$H$42,MATCH($L42,$B$35:$B$42,0),MATCH($M$34,$A$35:$H$35,0))*고양시_Modal_split!P$3 * 0.01</f>
        <v>30.717445854718409</v>
      </c>
      <c r="AA42" s="207">
        <f>INDEX($A$35:$H$42,MATCH($L42,$B$35:$B$42,0),MATCH($AA$34,$A$35:$H$35,0))*고양시_Modal_split!C$3 * 0.01</f>
        <v>0.66881627473861027</v>
      </c>
      <c r="AB42" s="207">
        <f>INDEX($A$35:$H$42,MATCH($L42,$B$35:$B$42,0),MATCH($AA$34,$A$35:$H$35,0))*고양시_Modal_split!D$3 * 0.01</f>
        <v>112.33724786056017</v>
      </c>
      <c r="AC42" s="207">
        <f>INDEX($A$35:$H$42,MATCH($L42,$B$35:$B$42,0),MATCH($AA$34,$A$35:$H$35,0))*고양시_Modal_split!E$3 * 0.01</f>
        <v>13.591302154509618</v>
      </c>
      <c r="AD42" s="207">
        <f>INDEX($A$35:$H$42,MATCH($L42,$B$35:$B$42,0),MATCH($AA$34,$A$35:$H$35,0))*고양시_Modal_split!F$3 * 0.01</f>
        <v>21.903732997689492</v>
      </c>
      <c r="AE42" s="207">
        <f>INDEX($A$35:$H$42,MATCH($L42,$B$35:$B$42,0),MATCH($AA$34,$A$35:$H$35,0))*고양시_Modal_split!G$3 * 0.01</f>
        <v>2.1975391884268625</v>
      </c>
      <c r="AF42" s="207">
        <f>INDEX($A$35:$H$42,MATCH($L42,$B$35:$B$42,0),MATCH($AA$34,$A$35:$H$35,0))*고양시_Modal_split!H$3 * 0.01</f>
        <v>2.3886295526378942E-2</v>
      </c>
      <c r="AG42" s="207">
        <f>INDEX($A$35:$H$42,MATCH($L42,$B$35:$B$42,0),MATCH($AA$34,$A$35:$H$35,0))*고양시_Modal_split!I$3 * 0.01</f>
        <v>6.6403901563333454</v>
      </c>
      <c r="AH42" s="207">
        <f>INDEX($A$35:$H$42,MATCH($L42,$B$35:$B$42,0),MATCH($AA$34,$A$35:$H$35,0))*고양시_Modal_split!J$3 * 0.01</f>
        <v>72.709883582297493</v>
      </c>
      <c r="AI42" s="207">
        <f>INDEX($A$35:$H$42,MATCH($L42,$B$35:$B$42,0),MATCH($AA$34,$A$35:$H$35,0))*고양시_Modal_split!K$3 * 0.01</f>
        <v>0.35829443289568408</v>
      </c>
      <c r="AJ42" s="207">
        <f>INDEX($A$35:$H$42,MATCH($L42,$B$35:$B$42,0),MATCH($AA$34,$A$35:$H$35,0))*고양시_Modal_split!L$3 * 0.01</f>
        <v>7.2136612489664405</v>
      </c>
      <c r="AK42" s="207">
        <f>INDEX($A$35:$H$42,MATCH($L42,$B$35:$B$42,0),MATCH($AA$34,$A$35:$H$35,0))*고양시_Modal_split!M$3 * 0.01</f>
        <v>0.54938479710671562</v>
      </c>
      <c r="AL42" s="207">
        <f>INDEX($A$35:$H$42,MATCH($L42,$B$35:$B$42,0),MATCH($AA$34,$A$35:$H$35,0))*고양시_Modal_split!N$3 * 0.01</f>
        <v>0.23886295526378945</v>
      </c>
      <c r="AM42" s="207">
        <f>INDEX($A$35:$H$42,MATCH($L42,$B$35:$B$42,0),MATCH($AA$34,$A$35:$H$35,0))*고양시_Modal_split!O$3 * 0.01</f>
        <v>0.42995331947482096</v>
      </c>
      <c r="AN42" s="207">
        <f>INDEX($A$35:$H$42,MATCH($L42,$B$35:$B$42,0),MATCH($AA$34,$A$35:$H$35,0))*고양시_Modal_split!P$3 * 0.01</f>
        <v>238.86295526378942</v>
      </c>
      <c r="AO42" s="303">
        <f>INDEX($A$35:$H$42,MATCH($L42,$B$35:$B$42,0),MATCH($AO$34,$A$35:$H$35,0))*고양시_Modal_split!C$3 * 0.01</f>
        <v>2.9645517536996381E-2</v>
      </c>
      <c r="AP42" s="303">
        <f>INDEX($A$35:$H$42,MATCH($L42,$B$35:$B$42,0),MATCH($AO$34,$A$35:$H$35,0))*고양시_Modal_split!D$3 * 0.01</f>
        <v>4.9793881777319289</v>
      </c>
      <c r="AQ42" s="303">
        <f>INDEX($A$35:$H$42,MATCH($L42,$B$35:$B$42,0),MATCH($AO$34,$A$35:$H$35,0))*고양시_Modal_split!E$3 * 0.01</f>
        <v>0.60243926709110507</v>
      </c>
      <c r="AR42" s="303">
        <f>INDEX($A$35:$H$42,MATCH($L42,$B$35:$B$42,0),MATCH($AO$34,$A$35:$H$35,0))*고양시_Modal_split!F$3 * 0.01</f>
        <v>0.97089069933663152</v>
      </c>
      <c r="AS42" s="303">
        <f>INDEX($A$35:$H$42,MATCH($L42,$B$35:$B$42,0),MATCH($AO$34,$A$35:$H$35,0))*고양시_Modal_split!G$3 * 0.01</f>
        <v>9.7406700478702396E-2</v>
      </c>
      <c r="AT42" s="303">
        <f>INDEX($A$35:$H$42,MATCH($L42,$B$35:$B$42,0),MATCH($AO$34,$A$35:$H$35,0))*고양시_Modal_split!H$3 * 0.01</f>
        <v>1.0587684834641566E-3</v>
      </c>
      <c r="AU42" s="303">
        <f>INDEX($A$35:$H$42,MATCH($L42,$B$35:$B$42,0),MATCH($AO$34,$A$35:$H$35,0))*고양시_Modal_split!I$3 * 0.01</f>
        <v>0.29433763840303551</v>
      </c>
      <c r="AV42" s="303">
        <f>INDEX($A$35:$H$42,MATCH($L42,$B$35:$B$42,0),MATCH($AO$34,$A$35:$H$35,0))*고양시_Modal_split!J$3 * 0.01</f>
        <v>3.2228912636648928</v>
      </c>
      <c r="AW42" s="303">
        <f>INDEX($A$35:$H$42,MATCH($L42,$B$35:$B$42,0),MATCH($AO$34,$A$35:$H$35,0))*고양시_Modal_split!K$3 * 0.01</f>
        <v>1.588152725196235E-2</v>
      </c>
      <c r="AX42" s="303">
        <f>INDEX($A$35:$H$42,MATCH($L42,$B$35:$B$42,0),MATCH($AO$34,$A$35:$H$35,0))*고양시_Modal_split!L$3 * 0.01</f>
        <v>0.31974808200617533</v>
      </c>
      <c r="AY42" s="303">
        <f>INDEX($A$35:$H$42,MATCH($L42,$B$35:$B$42,0),MATCH($AO$34,$A$35:$H$35,0))*고양시_Modal_split!M$3 * 0.01</f>
        <v>2.4351675119675599E-2</v>
      </c>
      <c r="AZ42" s="303">
        <f>INDEX($A$35:$H$42,MATCH($L42,$B$35:$B$42,0),MATCH($AO$34,$A$35:$H$35,0))*고양시_Modal_split!N$3 * 0.01</f>
        <v>1.0587684834641566E-2</v>
      </c>
      <c r="BA42" s="207">
        <f>INDEX($A$35:$H$42,MATCH($L42,$B$35:$B$42,0),MATCH($AO$34,$A$35:$H$35,0))*고양시_Modal_split!O$3 * 0.01</f>
        <v>1.9057832702354817E-2</v>
      </c>
      <c r="BB42" s="207">
        <f>INDEX($A$35:$H$42,MATCH($L42,$B$35:$B$42,0),MATCH($AO$34,$A$35:$H$35,0))*고양시_Modal_split!P$3 * 0.01</f>
        <v>10.587684834641566</v>
      </c>
      <c r="BC42" s="207">
        <f>INDEX($A$35:$H$42,MATCH($L42,$B$35:$B$42,0),MATCH($BC$34,$A$35:$H$35,0))*고양시_Modal_split!C$3 * 0.01</f>
        <v>8.0394623829142928E-5</v>
      </c>
      <c r="BD42" s="207">
        <f>INDEX($A$35:$H$42,MATCH($L42,$B$35:$B$42,0),MATCH($BC$34,$A$35:$H$35,0))*고양시_Modal_split!D$3 * 0.01</f>
        <v>1.3503425566730688E-2</v>
      </c>
      <c r="BE42" s="207">
        <f>INDEX($A$35:$H$42,MATCH($L42,$B$35:$B$42,0),MATCH($BC$34,$A$35:$H$35,0))*고양시_Modal_split!E$3 * 0.01</f>
        <v>1.6337336056707974E-3</v>
      </c>
      <c r="BF42" s="207">
        <f>INDEX($A$35:$H$42,MATCH($L42,$B$35:$B$42,0),MATCH($BC$34,$A$35:$H$35,0))*고양시_Modal_split!F$3 * 0.01</f>
        <v>2.6329239304044311E-3</v>
      </c>
      <c r="BG42" s="207">
        <f>INDEX($A$35:$H$42,MATCH($L42,$B$35:$B$42,0),MATCH($BC$34,$A$35:$H$35,0))*고양시_Modal_split!G$3 * 0.01</f>
        <v>2.6415376401004104E-4</v>
      </c>
      <c r="BH42" s="207">
        <f>INDEX($A$35:$H$42,MATCH($L42,$B$35:$B$42,0),MATCH($BC$34,$A$35:$H$35,0))*고양시_Modal_split!H$3 * 0.01</f>
        <v>2.8712365653265334E-6</v>
      </c>
      <c r="BI42" s="207">
        <f>INDEX($A$35:$H$42,MATCH($L42,$B$35:$B$42,0),MATCH($BC$34,$A$35:$H$35,0))*고양시_Modal_split!I$3 * 0.01</f>
        <v>7.9820376516077625E-4</v>
      </c>
      <c r="BJ42" s="207">
        <f>INDEX($A$35:$H$42,MATCH($L42,$B$35:$B$42,0),MATCH($BC$34,$A$35:$H$35,0))*고양시_Modal_split!J$3 * 0.01</f>
        <v>8.7400441048539682E-3</v>
      </c>
      <c r="BK42" s="207">
        <f>INDEX($A$35:$H$42,MATCH($L42,$B$35:$B$42,0),MATCH($BC$34,$A$35:$H$35,0))*고양시_Modal_split!K$3 * 0.01</f>
        <v>4.3068548479897996E-5</v>
      </c>
      <c r="BL42" s="207">
        <f>INDEX($A$35:$H$42,MATCH($L42,$B$35:$B$42,0),MATCH($BC$34,$A$35:$H$35,0))*고양시_Modal_split!L$3 * 0.01</f>
        <v>8.6711344272861319E-4</v>
      </c>
      <c r="BM42" s="207">
        <f>INDEX($A$35:$H$42,MATCH($L42,$B$35:$B$42,0),MATCH($BC$34,$A$35:$H$35,0))*고양시_Modal_split!M$3 * 0.01</f>
        <v>6.603844100251026E-5</v>
      </c>
      <c r="BN42" s="207">
        <f>INDEX($A$35:$H$42,MATCH($L42,$B$35:$B$42,0),MATCH($BC$34,$A$35:$H$35,0))*고양시_Modal_split!N$3 * 0.01</f>
        <v>2.8712365653265335E-5</v>
      </c>
      <c r="BO42" s="207">
        <f>INDEX($A$35:$H$42,MATCH($L42,$B$35:$B$42,0),MATCH($BC$34,$A$35:$H$35,0))*고양시_Modal_split!O$3 * 0.01</f>
        <v>5.1682258175877599E-5</v>
      </c>
      <c r="BP42" s="207">
        <f>INDEX($A$35:$H$42,MATCH($L42,$B$35:$B$42,0),MATCH($BC$34,$A$35:$H$35,0))*고양시_Modal_split!P$3 * 0.01</f>
        <v>2.8712365653265334E-2</v>
      </c>
      <c r="BQ42" s="207">
        <f>INDEX($A$35:$H$42,MATCH($L42,$B$35:$B$42,0),MATCH($BQ$34,$A$35:$H$35,0))*고양시_Modal_split!C$3 * 0.01</f>
        <v>2.277847675159041E-4</v>
      </c>
      <c r="BR42" s="207">
        <f>INDEX($A$35:$H$42,MATCH($L42,$B$35:$B$42,0),MATCH($BQ$34,$A$35:$H$35,0))*고양시_Modal_split!D$3 * 0.01</f>
        <v>3.8259705772403473E-2</v>
      </c>
      <c r="BS42" s="207">
        <f>INDEX($A$35:$H$42,MATCH($L42,$B$35:$B$42,0),MATCH($BQ$34,$A$35:$H$35,0))*고양시_Modal_split!E$3 * 0.01</f>
        <v>4.628911882733908E-3</v>
      </c>
      <c r="BT42" s="207">
        <f>INDEX($A$35:$H$42,MATCH($L42,$B$35:$B$42,0),MATCH($BQ$34,$A$35:$H$35,0))*고양시_Modal_split!F$3 * 0.01</f>
        <v>7.4599511361458605E-3</v>
      </c>
      <c r="BU42" s="207">
        <f>INDEX($A$35:$H$42,MATCH($L42,$B$35:$B$42,0),MATCH($BQ$34,$A$35:$H$35,0))*고양시_Modal_split!G$3 * 0.01</f>
        <v>7.484356646951135E-4</v>
      </c>
      <c r="BV42" s="207">
        <f>INDEX($A$35:$H$42,MATCH($L42,$B$35:$B$42,0),MATCH($BQ$34,$A$35:$H$35,0))*고양시_Modal_split!H$3 * 0.01</f>
        <v>8.1351702684251485E-6</v>
      </c>
      <c r="BW42" s="207">
        <f>INDEX($A$35:$H$42,MATCH($L42,$B$35:$B$42,0),MATCH($BQ$34,$A$35:$H$35,0))*고양시_Modal_split!I$3 * 0.01</f>
        <v>2.2615773346221909E-3</v>
      </c>
      <c r="BX42" s="207">
        <f>INDEX($A$35:$H$42,MATCH($L42,$B$35:$B$42,0),MATCH($BQ$34,$A$35:$H$35,0))*고양시_Modal_split!J$3 * 0.01</f>
        <v>2.4763458297086149E-2</v>
      </c>
      <c r="BY42" s="207">
        <f>INDEX($A$35:$H$42,MATCH($L42,$B$35:$B$42,0),MATCH($BQ$34,$A$35:$H$35,0))*고양시_Modal_split!K$3 * 0.01</f>
        <v>1.2202755402637721E-4</v>
      </c>
      <c r="BZ42" s="207">
        <f>INDEX($A$35:$H$42,MATCH($L42,$B$35:$B$42,0),MATCH($BQ$34,$A$35:$H$35,0))*고양시_Modal_split!L$3 * 0.01</f>
        <v>2.4568214210643948E-3</v>
      </c>
      <c r="CA42" s="207">
        <f>INDEX($A$35:$H$42,MATCH($L42,$B$35:$B$42,0),MATCH($BQ$34,$A$35:$H$35,0))*고양시_Modal_split!M$3 * 0.01</f>
        <v>1.8710891617377837E-4</v>
      </c>
      <c r="CB42" s="207">
        <f>INDEX($A$35:$H$42,MATCH($L42,$B$35:$B$42,0),MATCH($BQ$34,$A$35:$H$35,0))*고양시_Modal_split!N$3 * 0.01</f>
        <v>8.1351702684251471E-5</v>
      </c>
      <c r="CC42" s="207">
        <f>INDEX($A$35:$H$42,MATCH($L42,$B$35:$B$42,0),MATCH($BQ$34,$A$35:$H$35,0))*고양시_Modal_split!O$3 * 0.01</f>
        <v>1.4643306483165265E-4</v>
      </c>
      <c r="CD42" s="207">
        <f>INDEX($A$35:$H$42,MATCH($L42,$B$35:$B$42,0),MATCH($BQ$34,$A$35:$H$35,0))*고양시_Modal_split!P$3 * 0.01</f>
        <v>8.1351702684251473E-2</v>
      </c>
      <c r="CE42" s="304">
        <f t="shared" si="10"/>
        <v>0.78477882006016331</v>
      </c>
      <c r="CF42" s="304">
        <f t="shared" si="5"/>
        <v>131.81481395510528</v>
      </c>
      <c r="CG42" s="304">
        <f t="shared" si="5"/>
        <v>15.947826736222604</v>
      </c>
      <c r="CH42" s="304">
        <f t="shared" si="5"/>
        <v>25.701506356970352</v>
      </c>
      <c r="CI42" s="304">
        <f t="shared" si="5"/>
        <v>2.5785589801976796</v>
      </c>
      <c r="CJ42" s="304">
        <f t="shared" si="5"/>
        <v>2.8027815002148689E-2</v>
      </c>
      <c r="CK42" s="304">
        <f t="shared" si="5"/>
        <v>7.7917325705973361</v>
      </c>
      <c r="CL42" s="304">
        <f t="shared" si="5"/>
        <v>85.31666886654061</v>
      </c>
      <c r="CM42" s="304">
        <f t="shared" si="5"/>
        <v>0.42041722503223034</v>
      </c>
      <c r="CN42" s="304">
        <f t="shared" si="5"/>
        <v>8.4644001306489045</v>
      </c>
      <c r="CO42" s="304">
        <f t="shared" si="5"/>
        <v>0.6446397450494199</v>
      </c>
      <c r="CP42" s="304">
        <f t="shared" si="5"/>
        <v>0.28027815002148693</v>
      </c>
      <c r="CQ42" s="304">
        <f t="shared" si="5"/>
        <v>0.50450067003867638</v>
      </c>
      <c r="CR42" s="304">
        <f t="shared" si="5"/>
        <v>280.27815002148691</v>
      </c>
      <c r="CS42" s="305">
        <f t="shared" si="11"/>
        <v>0</v>
      </c>
      <c r="CV42" s="267"/>
      <c r="CW42" s="267" t="s">
        <v>722</v>
      </c>
      <c r="CX42" s="267">
        <f>INDEX($M$34:$Z$42,MATCH($CW42,$L$34:$L$42,0),MATCH(CX$35,$M$35:$Z$35,0))/INDEX(고양시_재차인원!$D$4:$H$35,MATCH("고양시",고양시_재차인원!$B$4:$B$35,0),MATCH($CX$34,고양시_재차인원!$D$4:$H$4,0))</f>
        <v>12.898584629887559</v>
      </c>
      <c r="CY42" s="267">
        <f>INDEX($M$34:$Z$42,MATCH($CW42,$L$34:$L$42,0),MATCH(CY$35,$M$35:$Z$35,0))/INDEX(고양시_재차인원!$K$4:$O$20,MATCH("경기도",고양시_재차인원!$K$4:$K$20,0),MATCH(CY$35,고양시_재차인원!$K$4:$O$4,0))</f>
        <v>1.0669484492781663E-4</v>
      </c>
      <c r="CZ42" s="267">
        <f>INDEX($M$34:$Z$42,MATCH($CW42,$L$34:$L$42,0),MATCH(CZ$35,$M$35:$Z$35,0))/INDEX(고양시_재차인원!$K$4:$O$20,MATCH("경기도",고양시_재차인원!$K$4:$K$20,0),MATCH(CZ$35,고양시_재차인원!$K$4:$O$4,0))</f>
        <v>2.9661166889933019E-2</v>
      </c>
      <c r="DA42" s="267">
        <f>INDEX($M$34:$Z$42,MATCH($CW42,$L$34:$L$42,0),MATCH(DA$35,$M$35:$Z$35,0))/INDEX(고양시_재차인원!$D$4:$H$35,MATCH("고양시",고양시_재차인원!$B$4:$B$35,0),MATCH($CX$34,고양시_재차인원!$D$4:$H$4,0))</f>
        <v>0.82827398643972849</v>
      </c>
      <c r="DB42" s="267">
        <f>INDEX($AA$34:$AN$42,MATCH($CW42,$L$34:$L$42,0),MATCH(DB$35,$AA$35:$AN$35,0))/INDEX(고양시_재차인원!$D$4:$H$35,MATCH("고양시",고양시_재차인원!$B$4:$B$35,0),MATCH($DB$34,고양시_재차인원!$D$4:$H$4,0))</f>
        <v>79.671806993305083</v>
      </c>
      <c r="DC42" s="267">
        <f>INDEX($AA$34:$AN$42,MATCH($CW42,$L$34:$L$42,0),MATCH(DC$35,$AA$35:$AN$35,0))/INDEX(고양시_재차인원!$K$4:$O$20,MATCH("경기도",고양시_재차인원!$K$4:$K$20,0),MATCH(DC$35,고양시_재차인원!$K$4:$O$4,0))</f>
        <v>8.2967334235425298E-4</v>
      </c>
      <c r="DD42" s="267">
        <f>INDEX($AA$34:$AN$42,MATCH($CW42,$L$34:$L$42,0),MATCH(DD$35,$AA$35:$AN$35,0))/INDEX(고양시_재차인원!$K$4:$O$20,MATCH("경기도",고양시_재차인원!$K$4:$K$20,0),MATCH(DD$35,고양시_재차인원!$K$4:$O$4,0))</f>
        <v>0.23064918917448229</v>
      </c>
      <c r="DE42" s="267">
        <f>INDEX($AA$34:$AN$42,MATCH($CW42,$L$34:$L$42,0),MATCH(DE$35,$AA$35:$AN$35,0))/INDEX(고양시_재차인원!$D$4:$H$35,MATCH("고양시",고양시_재차인원!$B$4:$B$35,0),MATCH($DB$34,고양시_재차인원!$D$4:$H$4,0))</f>
        <v>5.1160718077776179</v>
      </c>
      <c r="DF42" s="267">
        <f>INDEX($AO$34:$BB$42,MATCH($CW42,$L$34:$L$42,0),MATCH(DF$35,$AO$35:$BB$35,0))/INDEX(고양시_재차인원!$D$4:$H$35,MATCH("고양시",고양시_재차인원!$B$4:$B$35,0),MATCH($DF$34,고양시_재차인원!$D$4:$H$4,0))</f>
        <v>3.8302985982553297</v>
      </c>
      <c r="DG42" s="267">
        <f>INDEX($AO$34:$BB$42,MATCH($CW42,$L$34:$L$42,0),MATCH(DG$35,$AO$35:$BB$35,0))/INDEX(고양시_재차인원!$K$4:$O$20,MATCH("경기도",고양시_재차인원!$K$4:$K$20,0),MATCH(DG$35,고양시_재차인원!$K$4:$O$4,0))</f>
        <v>3.6775563857733819E-5</v>
      </c>
      <c r="DH42" s="267">
        <f>INDEX($AO$34:$BB$42,MATCH($CW42,$L$34:$L$42,0),MATCH(DH$35,$AO$35:$BB$35,0))/INDEX(고양시_재차인원!$K$4:$O$20,MATCH("경기도",고양시_재차인원!$K$4:$K$20,0),MATCH(DH$35,고양시_재차인원!$K$4:$O$4,0))</f>
        <v>1.0223606752450001E-2</v>
      </c>
      <c r="DI42" s="267">
        <f>INDEX($AO$34:$BB$42,MATCH($CW42,$L$34:$L$42,0),MATCH(DI$35,$AO$35:$BB$35,0))/INDEX(고양시_재차인원!$D$4:$H$35,MATCH("고양시",고양시_재차인원!$B$4:$B$35,0),MATCH($DF$34,고양시_재차인원!$D$4:$H$4,0))</f>
        <v>0.24596006308167331</v>
      </c>
      <c r="DJ42" s="267">
        <f>INDEX($BC$34:$BP$42,MATCH($CW42,$L$34:$L$42,0),MATCH(DJ$35,$BC$35:$BP$35,0))/INDEX(고양시_재차인원!$D$4:$H$35,MATCH("고양시",고양시_재차인원!$B$4:$B$35,0),MATCH($DJ$34,고양시_재차인원!$D$4:$H$4,0))</f>
        <v>9.9289893873019761E-3</v>
      </c>
      <c r="DK42" s="267">
        <f>INDEX($BC$34:$BP$42,MATCH($CW42,$L$34:$L$42,0),MATCH(DK$35,$BC$35:$BP$35,0))/INDEX(고양시_재차인원!$K$4:$O$20,MATCH("경기도",고양시_재차인원!$K$4:$K$20,0),MATCH(DK$35,고양시_재차인원!$K$4:$O$4,0))</f>
        <v>9.9730342665041106E-8</v>
      </c>
      <c r="DL42" s="267">
        <f>INDEX($BC$34:$BP$42,MATCH($CW42,$L$34:$L$42,0),MATCH(DL$35,$BC$35:$BP$35,0))/INDEX(고양시_재차인원!$K$4:$O$20,MATCH("경기도",고양시_재차인원!$K$4:$K$20,0),MATCH(DL$35,고양시_재차인원!$K$4:$O$4,0))</f>
        <v>2.7725035260881427E-5</v>
      </c>
      <c r="DM42" s="267">
        <f>INDEX($BC$34:$BP$42,MATCH($CW42,$L$34:$L$42,0),MATCH(DM$35,$BC$35:$BP$35,0))/INDEX(고양시_재차인원!$D$4:$H$35,MATCH("고양시",고양시_재차인원!$B$4:$B$35,0),MATCH($DJ$34,고양시_재차인원!$D$4:$H$4,0))</f>
        <v>6.3758341377103908E-4</v>
      </c>
      <c r="DN42" s="267">
        <f>INDEX($BQ$34:$CD$42,MATCH($CW42,$L$34:$L$42,0),MATCH(DN$35,$BQ$35:$CD$35,0))/INDEX(고양시_재차인원!$D$4:$H$35,MATCH("고양시",고양시_재차인원!$B$4:$B$35,0),MATCH($DN$34,고양시_재차인원!$D$4:$H$4,0))</f>
        <v>3.0364845851113868E-2</v>
      </c>
      <c r="DO42" s="267">
        <f>INDEX($BQ$34:$CD$42,MATCH($CW42,$L$34:$L$42,0),MATCH(DO$35,$BQ$35:$CD$35,0))/INDEX(고양시_재차인원!$K$4:$O$20,MATCH("경기도",고양시_재차인원!$K$4:$K$20,0),MATCH(DO$35,고양시_재차인원!$K$4:$O$4,0))</f>
        <v>2.8256930421761545E-7</v>
      </c>
      <c r="DP42" s="267">
        <f>INDEX($BQ$34:$CD$42,MATCH($CW42,$L$34:$L$42,0),MATCH(DP$35,$BQ$35:$CD$35,0))/INDEX(고양시_재차인원!$K$4:$O$20,MATCH("경기도",고양시_재차인원!$K$4:$K$20,0),MATCH(DP$35,고양시_재차인원!$K$4:$O$4,0))</f>
        <v>7.8554266572497089E-5</v>
      </c>
      <c r="DQ42" s="267">
        <f>INDEX($BQ$34:$CD$42,MATCH($CW42,$L$34:$L$42,0),MATCH(DQ$35,$BQ$35:$CD$35,0))/INDEX(고양시_재차인원!$D$4:$H$35,MATCH("고양시",고양시_재차인원!$B$4:$B$35,0),MATCH($DN$34,고양시_재차인원!$D$4:$H$4,0))</f>
        <v>1.9498582706860277E-3</v>
      </c>
      <c r="DR42" s="270">
        <f t="shared" si="12"/>
        <v>96.440984056686389</v>
      </c>
      <c r="DS42" s="270">
        <f t="shared" si="6"/>
        <v>9.73526050786686E-4</v>
      </c>
      <c r="DT42" s="270">
        <f t="shared" si="6"/>
        <v>0.27064024211869869</v>
      </c>
      <c r="DU42" s="270">
        <f t="shared" si="6"/>
        <v>6.1928932989834768</v>
      </c>
      <c r="DW42" s="278"/>
      <c r="DX42" s="278" t="s">
        <v>722</v>
      </c>
      <c r="DY42" s="281">
        <f t="shared" si="13"/>
        <v>102.63387735566987</v>
      </c>
      <c r="DZ42" s="281">
        <f t="shared" si="14"/>
        <v>0.2716137681694854</v>
      </c>
      <c r="EB42" s="278"/>
      <c r="EC42" s="278" t="s">
        <v>301</v>
      </c>
      <c r="ED42" s="281">
        <f t="shared" si="15"/>
        <v>102.63387735566987</v>
      </c>
      <c r="EE42" s="281">
        <f t="shared" si="7"/>
        <v>0.2716137681694854</v>
      </c>
    </row>
    <row r="43" spans="1:157">
      <c r="I43" s="56"/>
      <c r="J43" s="56"/>
      <c r="Z43">
        <f>Z42/H42</f>
        <v>0.10959629158521109</v>
      </c>
      <c r="DW43" s="278"/>
      <c r="DX43" s="278" t="s">
        <v>26</v>
      </c>
      <c r="DY43" s="281">
        <f>SUM(DY36:DY42)</f>
        <v>748.54307884735204</v>
      </c>
      <c r="DZ43" s="281">
        <f>SUM(DZ36:DZ42)</f>
        <v>1.98096974918278</v>
      </c>
      <c r="EC43" s="278" t="s">
        <v>26</v>
      </c>
      <c r="ED43" s="281">
        <f>DY43</f>
        <v>748.54307884735204</v>
      </c>
      <c r="EE43" s="281">
        <f>DZ43</f>
        <v>1.98096974918278</v>
      </c>
    </row>
    <row r="44" spans="1:157">
      <c r="A44" s="205"/>
      <c r="B44" s="205"/>
      <c r="C44" s="201"/>
      <c r="D44" s="201"/>
      <c r="E44" s="201"/>
      <c r="F44" s="201"/>
      <c r="G44" s="201"/>
      <c r="H44" s="201"/>
      <c r="I44" s="56"/>
      <c r="J44" s="56"/>
      <c r="ED44" s="230">
        <f>SUM(ED36:ED42)-ED43</f>
        <v>0</v>
      </c>
      <c r="EE44" s="230" t="b">
        <f>SUM(EE36:EE42)=EE43</f>
        <v>1</v>
      </c>
    </row>
    <row r="45" spans="1:157">
      <c r="A45" s="205"/>
      <c r="B45" s="205"/>
      <c r="C45" s="201"/>
      <c r="D45" s="201"/>
      <c r="E45" s="201"/>
      <c r="F45" s="201"/>
      <c r="G45" s="201"/>
      <c r="H45" s="201"/>
      <c r="I45" s="56"/>
      <c r="J45" s="56"/>
    </row>
    <row r="46" spans="1:157">
      <c r="A46" s="205"/>
      <c r="B46" s="205"/>
      <c r="C46" s="201"/>
      <c r="D46" s="201"/>
      <c r="E46" s="201"/>
      <c r="F46" s="201"/>
      <c r="G46" s="201"/>
      <c r="H46" s="201"/>
      <c r="I46" s="56"/>
      <c r="J46" s="56"/>
    </row>
    <row r="47" spans="1:157">
      <c r="A47" s="205"/>
      <c r="B47" s="205"/>
      <c r="C47" s="201"/>
      <c r="D47" s="201"/>
      <c r="E47" s="201"/>
      <c r="F47" s="201"/>
      <c r="G47" s="201"/>
      <c r="H47" s="201"/>
      <c r="I47" s="56"/>
      <c r="J47" s="56"/>
    </row>
    <row r="48" spans="1:157">
      <c r="A48" s="205"/>
      <c r="B48" s="205"/>
      <c r="C48" s="201"/>
      <c r="D48" s="201"/>
      <c r="E48" s="201"/>
      <c r="F48" s="201"/>
      <c r="G48" s="201"/>
      <c r="H48" s="352">
        <f>SUM(H36:H47)</f>
        <v>2044.161974156711</v>
      </c>
      <c r="I48" s="97" t="b">
        <f>H48=SUM(D8,D9,D10,D11,D12,D13,D14)  * (1+KTDB_발생량도착량_증가율!$C$8)</f>
        <v>0</v>
      </c>
      <c r="J48" s="230">
        <f>CR48</f>
        <v>0</v>
      </c>
    </row>
    <row r="72" spans="1:164">
      <c r="FA72" s="277"/>
    </row>
    <row r="73" spans="1:164">
      <c r="FA73" s="277"/>
    </row>
    <row r="74" spans="1:164">
      <c r="FA74" s="277"/>
    </row>
    <row r="75" spans="1:164" s="227" customFormat="1" ht="19.5">
      <c r="A75" s="329">
        <v>2025</v>
      </c>
      <c r="B75" s="282"/>
      <c r="C75" s="283"/>
      <c r="D75" s="284"/>
      <c r="E75" s="284"/>
      <c r="F75" s="284"/>
      <c r="G75" s="284"/>
      <c r="H75" s="284"/>
      <c r="I75" s="284"/>
      <c r="K75" s="282"/>
      <c r="L75" s="282"/>
      <c r="M75" s="283"/>
      <c r="N75" s="284"/>
      <c r="O75" s="284"/>
      <c r="P75" s="284"/>
      <c r="Q75" s="284"/>
      <c r="R75" s="284"/>
      <c r="S75" s="284"/>
    </row>
    <row r="76" spans="1:164" ht="23.5" thickBot="1">
      <c r="A76" s="32" t="s">
        <v>641</v>
      </c>
      <c r="C76" t="s">
        <v>463</v>
      </c>
      <c r="D76" t="s">
        <v>467</v>
      </c>
      <c r="E76" t="s">
        <v>470</v>
      </c>
      <c r="F76" t="s">
        <v>465</v>
      </c>
      <c r="G76" t="s">
        <v>466</v>
      </c>
      <c r="H76" t="s">
        <v>21</v>
      </c>
      <c r="K76" s="32" t="s">
        <v>471</v>
      </c>
      <c r="CV76" s="32" t="s">
        <v>492</v>
      </c>
      <c r="CY76" t="s">
        <v>478</v>
      </c>
      <c r="CZ76" t="s">
        <v>479</v>
      </c>
      <c r="EL76" s="353" t="s">
        <v>853</v>
      </c>
      <c r="EU76" s="353" t="s">
        <v>745</v>
      </c>
    </row>
    <row r="77" spans="1:164">
      <c r="A77" t="s">
        <v>462</v>
      </c>
      <c r="C77" t="s">
        <v>427</v>
      </c>
      <c r="D77" t="s">
        <v>428</v>
      </c>
      <c r="E77" t="s">
        <v>429</v>
      </c>
      <c r="F77" t="s">
        <v>430</v>
      </c>
      <c r="G77" t="s">
        <v>431</v>
      </c>
      <c r="H77" t="s">
        <v>457</v>
      </c>
      <c r="K77" s="159" t="s">
        <v>482</v>
      </c>
      <c r="L77" s="159"/>
      <c r="M77" s="443" t="s">
        <v>463</v>
      </c>
      <c r="N77" s="444"/>
      <c r="O77" s="444"/>
      <c r="P77" s="444"/>
      <c r="Q77" s="444"/>
      <c r="R77" s="444"/>
      <c r="S77" s="444"/>
      <c r="T77" s="444"/>
      <c r="U77" s="444"/>
      <c r="V77" s="444"/>
      <c r="W77" s="444"/>
      <c r="X77" s="444"/>
      <c r="Y77" s="444"/>
      <c r="Z77" s="445"/>
      <c r="AA77" s="443" t="s">
        <v>467</v>
      </c>
      <c r="AB77" s="444"/>
      <c r="AC77" s="444"/>
      <c r="AD77" s="444"/>
      <c r="AE77" s="444"/>
      <c r="AF77" s="444"/>
      <c r="AG77" s="444"/>
      <c r="AH77" s="444"/>
      <c r="AI77" s="444"/>
      <c r="AJ77" s="444"/>
      <c r="AK77" s="444"/>
      <c r="AL77" s="444"/>
      <c r="AM77" s="444"/>
      <c r="AN77" s="445"/>
      <c r="AO77" s="443" t="s">
        <v>464</v>
      </c>
      <c r="AP77" s="444"/>
      <c r="AQ77" s="444"/>
      <c r="AR77" s="444"/>
      <c r="AS77" s="444"/>
      <c r="AT77" s="444"/>
      <c r="AU77" s="444"/>
      <c r="AV77" s="444"/>
      <c r="AW77" s="444"/>
      <c r="AX77" s="444"/>
      <c r="AY77" s="444"/>
      <c r="AZ77" s="444"/>
      <c r="BA77" s="444"/>
      <c r="BB77" s="445"/>
      <c r="BC77" s="443" t="s">
        <v>465</v>
      </c>
      <c r="BD77" s="444"/>
      <c r="BE77" s="444"/>
      <c r="BF77" s="444"/>
      <c r="BG77" s="444"/>
      <c r="BH77" s="444"/>
      <c r="BI77" s="444"/>
      <c r="BJ77" s="444"/>
      <c r="BK77" s="444"/>
      <c r="BL77" s="444"/>
      <c r="BM77" s="444"/>
      <c r="BN77" s="444"/>
      <c r="BO77" s="444"/>
      <c r="BP77" s="445"/>
      <c r="BQ77" s="443" t="s">
        <v>466</v>
      </c>
      <c r="BR77" s="444"/>
      <c r="BS77" s="444"/>
      <c r="BT77" s="444"/>
      <c r="BU77" s="444"/>
      <c r="BV77" s="444"/>
      <c r="BW77" s="444"/>
      <c r="BX77" s="444"/>
      <c r="BY77" s="444"/>
      <c r="BZ77" s="444"/>
      <c r="CA77" s="444"/>
      <c r="CB77" s="444"/>
      <c r="CC77" s="444"/>
      <c r="CD77" s="445"/>
      <c r="CE77" s="443" t="s">
        <v>21</v>
      </c>
      <c r="CF77" s="444"/>
      <c r="CG77" s="444"/>
      <c r="CH77" s="444"/>
      <c r="CI77" s="444"/>
      <c r="CJ77" s="444"/>
      <c r="CK77" s="444"/>
      <c r="CL77" s="444"/>
      <c r="CM77" s="444"/>
      <c r="CN77" s="444"/>
      <c r="CO77" s="444"/>
      <c r="CP77" s="444"/>
      <c r="CQ77" s="444"/>
      <c r="CR77" s="445"/>
      <c r="CV77" s="263" t="s">
        <v>482</v>
      </c>
      <c r="CW77" s="263"/>
      <c r="CX77" s="446" t="s">
        <v>554</v>
      </c>
      <c r="CY77" s="439"/>
      <c r="CZ77" s="439"/>
      <c r="DA77" s="440"/>
      <c r="DB77" s="438" t="s">
        <v>553</v>
      </c>
      <c r="DC77" s="439"/>
      <c r="DD77" s="439"/>
      <c r="DE77" s="440"/>
      <c r="DF77" s="438" t="s">
        <v>464</v>
      </c>
      <c r="DG77" s="439"/>
      <c r="DH77" s="439"/>
      <c r="DI77" s="440"/>
      <c r="DJ77" s="438" t="s">
        <v>465</v>
      </c>
      <c r="DK77" s="439"/>
      <c r="DL77" s="439"/>
      <c r="DM77" s="440"/>
      <c r="DN77" s="438" t="s">
        <v>466</v>
      </c>
      <c r="DO77" s="439"/>
      <c r="DP77" s="439"/>
      <c r="DQ77" s="440"/>
      <c r="DR77" s="438" t="s">
        <v>21</v>
      </c>
      <c r="DS77" s="439"/>
      <c r="DT77" s="439"/>
      <c r="DU77" s="441"/>
      <c r="DW77" s="278"/>
      <c r="DX77" s="278"/>
      <c r="DY77" s="442" t="s">
        <v>588</v>
      </c>
      <c r="DZ77" s="442"/>
      <c r="EB77" s="278"/>
      <c r="EC77" s="278"/>
      <c r="ED77" s="442" t="s">
        <v>588</v>
      </c>
      <c r="EE77" s="442"/>
      <c r="EI77" t="s">
        <v>599</v>
      </c>
    </row>
    <row r="78" spans="1:164">
      <c r="A78" s="199"/>
      <c r="B78" s="199"/>
      <c r="C78" s="202" t="s">
        <v>463</v>
      </c>
      <c r="D78" s="202" t="s">
        <v>467</v>
      </c>
      <c r="E78" s="202" t="s">
        <v>464</v>
      </c>
      <c r="F78" s="202" t="s">
        <v>465</v>
      </c>
      <c r="G78" s="202" t="s">
        <v>558</v>
      </c>
      <c r="H78" s="202" t="s">
        <v>21</v>
      </c>
      <c r="K78" s="159"/>
      <c r="L78" s="159"/>
      <c r="M78" s="211" t="s">
        <v>472</v>
      </c>
      <c r="N78" s="160" t="s">
        <v>156</v>
      </c>
      <c r="O78" s="160" t="s">
        <v>475</v>
      </c>
      <c r="P78" s="160" t="s">
        <v>476</v>
      </c>
      <c r="Q78" s="160" t="s">
        <v>477</v>
      </c>
      <c r="R78" s="160" t="s">
        <v>478</v>
      </c>
      <c r="S78" s="160" t="s">
        <v>479</v>
      </c>
      <c r="T78" s="160" t="s">
        <v>480</v>
      </c>
      <c r="U78" s="160" t="s">
        <v>449</v>
      </c>
      <c r="V78" s="160" t="s">
        <v>157</v>
      </c>
      <c r="W78" s="160" t="s">
        <v>473</v>
      </c>
      <c r="X78" s="160" t="s">
        <v>474</v>
      </c>
      <c r="Y78" s="160" t="s">
        <v>46</v>
      </c>
      <c r="Z78" s="212" t="s">
        <v>11</v>
      </c>
      <c r="AA78" s="211" t="s">
        <v>472</v>
      </c>
      <c r="AB78" s="160" t="s">
        <v>156</v>
      </c>
      <c r="AC78" s="160" t="s">
        <v>475</v>
      </c>
      <c r="AD78" s="160" t="s">
        <v>476</v>
      </c>
      <c r="AE78" s="160" t="s">
        <v>477</v>
      </c>
      <c r="AF78" s="160" t="s">
        <v>478</v>
      </c>
      <c r="AG78" s="160" t="s">
        <v>479</v>
      </c>
      <c r="AH78" s="160" t="s">
        <v>480</v>
      </c>
      <c r="AI78" s="160" t="s">
        <v>449</v>
      </c>
      <c r="AJ78" s="160" t="s">
        <v>157</v>
      </c>
      <c r="AK78" s="160" t="s">
        <v>473</v>
      </c>
      <c r="AL78" s="160" t="s">
        <v>474</v>
      </c>
      <c r="AM78" s="160" t="s">
        <v>46</v>
      </c>
      <c r="AN78" s="212" t="s">
        <v>11</v>
      </c>
      <c r="AO78" s="211" t="s">
        <v>472</v>
      </c>
      <c r="AP78" s="160" t="s">
        <v>156</v>
      </c>
      <c r="AQ78" s="160" t="s">
        <v>475</v>
      </c>
      <c r="AR78" s="160" t="s">
        <v>476</v>
      </c>
      <c r="AS78" s="160" t="s">
        <v>477</v>
      </c>
      <c r="AT78" s="160" t="s">
        <v>478</v>
      </c>
      <c r="AU78" s="160" t="s">
        <v>479</v>
      </c>
      <c r="AV78" s="160" t="s">
        <v>480</v>
      </c>
      <c r="AW78" s="160" t="s">
        <v>449</v>
      </c>
      <c r="AX78" s="160" t="s">
        <v>157</v>
      </c>
      <c r="AY78" s="160" t="s">
        <v>473</v>
      </c>
      <c r="AZ78" s="160" t="s">
        <v>474</v>
      </c>
      <c r="BA78" s="160" t="s">
        <v>46</v>
      </c>
      <c r="BB78" s="212" t="s">
        <v>11</v>
      </c>
      <c r="BC78" s="211" t="s">
        <v>472</v>
      </c>
      <c r="BD78" s="160" t="s">
        <v>156</v>
      </c>
      <c r="BE78" s="160" t="s">
        <v>475</v>
      </c>
      <c r="BF78" s="160" t="s">
        <v>476</v>
      </c>
      <c r="BG78" s="160" t="s">
        <v>477</v>
      </c>
      <c r="BH78" s="160" t="s">
        <v>478</v>
      </c>
      <c r="BI78" s="160" t="s">
        <v>479</v>
      </c>
      <c r="BJ78" s="160" t="s">
        <v>480</v>
      </c>
      <c r="BK78" s="160" t="s">
        <v>449</v>
      </c>
      <c r="BL78" s="160" t="s">
        <v>157</v>
      </c>
      <c r="BM78" s="160" t="s">
        <v>473</v>
      </c>
      <c r="BN78" s="160" t="s">
        <v>474</v>
      </c>
      <c r="BO78" s="160" t="s">
        <v>46</v>
      </c>
      <c r="BP78" s="212" t="s">
        <v>11</v>
      </c>
      <c r="BQ78" s="211" t="s">
        <v>472</v>
      </c>
      <c r="BR78" s="160" t="s">
        <v>156</v>
      </c>
      <c r="BS78" s="160" t="s">
        <v>475</v>
      </c>
      <c r="BT78" s="160" t="s">
        <v>476</v>
      </c>
      <c r="BU78" s="160" t="s">
        <v>477</v>
      </c>
      <c r="BV78" s="160" t="s">
        <v>478</v>
      </c>
      <c r="BW78" s="160" t="s">
        <v>479</v>
      </c>
      <c r="BX78" s="160" t="s">
        <v>480</v>
      </c>
      <c r="BY78" s="160" t="s">
        <v>449</v>
      </c>
      <c r="BZ78" s="160" t="s">
        <v>157</v>
      </c>
      <c r="CA78" s="160" t="s">
        <v>473</v>
      </c>
      <c r="CB78" s="160" t="s">
        <v>474</v>
      </c>
      <c r="CC78" s="160" t="s">
        <v>46</v>
      </c>
      <c r="CD78" s="212" t="s">
        <v>11</v>
      </c>
      <c r="CE78" s="211" t="s">
        <v>472</v>
      </c>
      <c r="CF78" s="160" t="s">
        <v>156</v>
      </c>
      <c r="CG78" s="160" t="s">
        <v>475</v>
      </c>
      <c r="CH78" s="160" t="s">
        <v>476</v>
      </c>
      <c r="CI78" s="160" t="s">
        <v>477</v>
      </c>
      <c r="CJ78" s="160" t="s">
        <v>478</v>
      </c>
      <c r="CK78" s="160" t="s">
        <v>479</v>
      </c>
      <c r="CL78" s="160" t="s">
        <v>480</v>
      </c>
      <c r="CM78" s="160" t="s">
        <v>449</v>
      </c>
      <c r="CN78" s="160" t="s">
        <v>157</v>
      </c>
      <c r="CO78" s="160" t="s">
        <v>473</v>
      </c>
      <c r="CP78" s="160" t="s">
        <v>474</v>
      </c>
      <c r="CQ78" s="160" t="s">
        <v>46</v>
      </c>
      <c r="CR78" s="212" t="s">
        <v>11</v>
      </c>
      <c r="CV78" s="263"/>
      <c r="CW78" s="263"/>
      <c r="CX78" s="264" t="s">
        <v>156</v>
      </c>
      <c r="CY78" s="264" t="s">
        <v>478</v>
      </c>
      <c r="CZ78" s="264" t="s">
        <v>479</v>
      </c>
      <c r="DA78" s="264" t="s">
        <v>157</v>
      </c>
      <c r="DB78" s="264" t="s">
        <v>156</v>
      </c>
      <c r="DC78" s="264" t="s">
        <v>478</v>
      </c>
      <c r="DD78" s="264" t="s">
        <v>479</v>
      </c>
      <c r="DE78" s="264" t="s">
        <v>157</v>
      </c>
      <c r="DF78" s="264" t="s">
        <v>156</v>
      </c>
      <c r="DG78" s="264" t="s">
        <v>478</v>
      </c>
      <c r="DH78" s="264" t="s">
        <v>479</v>
      </c>
      <c r="DI78" s="264" t="s">
        <v>157</v>
      </c>
      <c r="DJ78" s="264" t="s">
        <v>156</v>
      </c>
      <c r="DK78" s="264" t="s">
        <v>478</v>
      </c>
      <c r="DL78" s="264" t="s">
        <v>479</v>
      </c>
      <c r="DM78" s="264" t="s">
        <v>157</v>
      </c>
      <c r="DN78" s="264" t="s">
        <v>156</v>
      </c>
      <c r="DO78" s="264" t="s">
        <v>478</v>
      </c>
      <c r="DP78" s="264" t="s">
        <v>479</v>
      </c>
      <c r="DQ78" s="264" t="s">
        <v>157</v>
      </c>
      <c r="DR78" s="264" t="s">
        <v>156</v>
      </c>
      <c r="DS78" s="264" t="s">
        <v>478</v>
      </c>
      <c r="DT78" s="264" t="s">
        <v>479</v>
      </c>
      <c r="DU78" s="264" t="s">
        <v>157</v>
      </c>
      <c r="DW78" s="278"/>
      <c r="DX78" s="278"/>
      <c r="DY78" s="280" t="s">
        <v>585</v>
      </c>
      <c r="DZ78" s="280" t="s">
        <v>259</v>
      </c>
      <c r="EB78" s="278"/>
      <c r="EC78" s="278"/>
      <c r="ED78" s="280" t="s">
        <v>585</v>
      </c>
      <c r="EE78" s="280" t="s">
        <v>259</v>
      </c>
      <c r="EL78" s="420" t="s">
        <v>564</v>
      </c>
      <c r="EM78" s="420" t="s">
        <v>565</v>
      </c>
      <c r="EN78" s="420" t="s">
        <v>566</v>
      </c>
      <c r="EO78" s="420" t="s">
        <v>562</v>
      </c>
      <c r="EP78" s="421" t="s">
        <v>597</v>
      </c>
      <c r="EQ78" s="421" t="s">
        <v>585</v>
      </c>
      <c r="ER78" s="421" t="s">
        <v>259</v>
      </c>
      <c r="ES78" s="424" t="s">
        <v>867</v>
      </c>
      <c r="EU78" s="306" t="s">
        <v>564</v>
      </c>
      <c r="EV78" s="306" t="s">
        <v>565</v>
      </c>
      <c r="EW78" s="306" t="s">
        <v>566</v>
      </c>
      <c r="EX78" s="306" t="s">
        <v>562</v>
      </c>
      <c r="EY78" s="307" t="s">
        <v>597</v>
      </c>
      <c r="EZ78" s="307" t="s">
        <v>585</v>
      </c>
      <c r="FA78" s="307" t="s">
        <v>259</v>
      </c>
    </row>
    <row r="79" spans="1:164" ht="37.5">
      <c r="A79" s="205"/>
      <c r="B79" s="205" t="s">
        <v>710</v>
      </c>
      <c r="C79" s="400">
        <f>$D8*KTDB_TripDistribution_2045!T$12 * (1+KTDB_발생량도착량_증가율!$C$7) * (1+KTDB_발생량도착량_증가율!$D$8*5) * (1+KTDB_발생량도착량_증가율!$E$8*5) * (1+KTDB_발생량도착량_증가율!$F$8*5) * (1+KTDB_발생량도착량_증가율!$G$8*5)</f>
        <v>46.521421551106599</v>
      </c>
      <c r="D79" s="400">
        <f>$D8*KTDB_TripDistribution_2045!U$12 * (1+KTDB_발생량도착량_증가율!$C$7) * (1+KTDB_발생량도착량_증가율!$D$8*5) * (1+KTDB_발생량도착량_증가율!$E$8*5) * (1+KTDB_발생량도착량_증가율!$F$8*5) * (1+KTDB_발생량도착량_증가율!$G$8*5)</f>
        <v>336.68504519696717</v>
      </c>
      <c r="E79" s="400">
        <f>$D8*KTDB_TripDistribution_2045!V$12 * (1+KTDB_발생량도착량_증가율!$C$7) * (1+KTDB_발생량도착량_증가율!$D$8*5) * (1+KTDB_발생량도착량_증가율!$E$8*5) * (1+KTDB_발생량도착량_증가율!$F$8*5) * (1+KTDB_발생량도착량_증가율!$G$8*5)</f>
        <v>19.314787677482034</v>
      </c>
      <c r="F79" s="400">
        <f>$D8*KTDB_TripDistribution_2045!W$12 * (1+KTDB_발생량도착량_증가율!$C$7) * (1+KTDB_발생량도착량_증가율!$D$8*5) * (1+KTDB_발생량도착량_증가율!$E$8*5) * (1+KTDB_발생량도착량_증가율!$F$8*5) * (1+KTDB_발생량도착량_증가율!$G$8*5)</f>
        <v>3.0353254600548031E-2</v>
      </c>
      <c r="G79" s="400">
        <f>$D8*KTDB_TripDistribution_2045!X$12 * (1+KTDB_발생량도착량_증가율!$C$7) * (1+KTDB_발생량도착량_증가율!$D$8*5) * (1+KTDB_발생량도착량_증가율!$E$8*5) * (1+KTDB_발생량도착량_증가율!$F$8*5) * (1+KTDB_발생량도착량_증가율!$G$8*5)</f>
        <v>0.11466785071318138</v>
      </c>
      <c r="H79" s="400">
        <f>$D8*KTDB_TripDistribution_2045!Y$12 * (1+KTDB_발생량도착량_증가율!$C$7) * (1+KTDB_발생량도착량_증가율!$D$8*5) * (1+KTDB_발생량도착량_증가율!$E$8*5) * (1+KTDB_발생량도착량_증가율!$F$8*5) * (1+KTDB_발생량도착량_증가율!$G$8*5)</f>
        <v>402.66627553086943</v>
      </c>
      <c r="J79" s="230">
        <f t="shared" ref="J79:J83" si="16">CR79</f>
        <v>402.66627553086954</v>
      </c>
      <c r="K79" s="206"/>
      <c r="L79" s="206" t="s">
        <v>710</v>
      </c>
      <c r="M79" s="206">
        <f>INDEX($A$78:$H$85,MATCH($L79,$B$78:$B$85,0),MATCH($M$77,$A$78:$H$78,0))*고양시_Modal_split!C$3 * 0.01</f>
        <v>0.13025998034309846</v>
      </c>
      <c r="N79" s="206">
        <f>INDEX($A$78:$H$85,MATCH($L79,$B$78:$B$85,0),MATCH($M$77,$A$78:$H$78,0))*고양시_Modal_split!D$3 * 0.01</f>
        <v>21.879024555485437</v>
      </c>
      <c r="O79" s="206">
        <f>INDEX($A$78:$H$85,MATCH($L79,$B$78:$B$85,0),MATCH($M$77,$A$78:$H$78,0))*고양시_Modal_split!E$3 * 0.01</f>
        <v>2.6470688862579652</v>
      </c>
      <c r="P79" s="206">
        <f>INDEX($A$78:$H$85,MATCH($L79,$B$78:$B$85,0),MATCH($M$77,$A$78:$H$78,0))*고양시_Modal_split!F$3 * 0.01</f>
        <v>4.2660143562364752</v>
      </c>
      <c r="Q79" s="206">
        <f>INDEX($A$78:$H$85,MATCH($L79,$B$78:$B$85,0),MATCH($M$77,$A$78:$H$78,0))*고양시_Modal_split!G$3 * 0.01</f>
        <v>0.42799707827018069</v>
      </c>
      <c r="R79" s="206">
        <f>INDEX($A$78:$H$85,MATCH($L79,$B$78:$B$85,0),MATCH($M$77,$A$78:$H$78,0))*고양시_Modal_split!H$3 * 0.01</f>
        <v>4.6521421551106602E-3</v>
      </c>
      <c r="S79" s="206">
        <f>INDEX($A$78:$H$85,MATCH($L79,$B$78:$B$85,0),MATCH($M$77,$A$78:$H$78,0))*고양시_Modal_split!I$3 * 0.01</f>
        <v>1.2932955191207633</v>
      </c>
      <c r="T79" s="206">
        <f>INDEX($A$78:$H$85,MATCH($L79,$B$78:$B$85,0),MATCH($M$77,$A$78:$H$78,0))*고양시_Modal_split!J$3 * 0.01</f>
        <v>14.161120720156848</v>
      </c>
      <c r="U79" s="206">
        <f>INDEX($A$78:$H$85,MATCH($L79,$B$78:$B$85,0),MATCH($M$77,$A$78:$H$78,0))*고양시_Modal_split!K$3 * 0.01</f>
        <v>6.9782132326659904E-2</v>
      </c>
      <c r="V79" s="206">
        <f>INDEX($A$78:$H$85,MATCH($L79,$B$78:$B$85,0),MATCH($M$77,$A$78:$H$78,0))*고양시_Modal_split!L$3 * 0.01</f>
        <v>1.4049469308434193</v>
      </c>
      <c r="W79" s="206">
        <f>INDEX($A$78:$H$85,MATCH($L79,$B$78:$B$85,0),MATCH($M$77,$A$78:$H$78,0))*고양시_Modal_split!M$3 * 0.01</f>
        <v>0.10699926956754517</v>
      </c>
      <c r="X79" s="206">
        <f>INDEX($A$78:$H$85,MATCH($L79,$B$78:$B$85,0),MATCH($M$77,$A$78:$H$78,0))*고양시_Modal_split!N$3 * 0.01</f>
        <v>4.6521421551106598E-2</v>
      </c>
      <c r="Y79" s="206">
        <f>INDEX($A$78:$H$85,MATCH($L79,$B$78:$B$85,0),MATCH($M$77,$A$78:$H$78,0))*고양시_Modal_split!O$3 * 0.01</f>
        <v>8.3738558791991866E-2</v>
      </c>
      <c r="Z79" s="209">
        <f>INDEX($A$78:$H$85,MATCH($L79,$B$78:$B$85,0),MATCH($M$77,$A$78:$H$78,0))*고양시_Modal_split!P$3 * 0.01</f>
        <v>46.521421551106599</v>
      </c>
      <c r="AA79" s="207">
        <f>INDEX($A$78:$H$85,MATCH($L79,$B$78:$B$85,0),MATCH($AA$77,$A$78:$H$78,0))*고양시_Modal_split!C$3 * 0.01</f>
        <v>0.942718126551508</v>
      </c>
      <c r="AB79" s="207">
        <f>INDEX($A$78:$H$85,MATCH($L79,$B$78:$B$85,0),MATCH($AA$77,$A$78:$H$78,0))*고양시_Modal_split!D$3 * 0.01</f>
        <v>158.34297675613368</v>
      </c>
      <c r="AC79" s="207">
        <f>INDEX($A$78:$H$85,MATCH($L79,$B$78:$B$85,0),MATCH($AA$77,$A$78:$H$78,0))*고양시_Modal_split!E$3 * 0.01</f>
        <v>19.157379071707432</v>
      </c>
      <c r="AD79" s="207">
        <f>INDEX($A$78:$H$85,MATCH($L79,$B$78:$B$85,0),MATCH($AA$77,$A$78:$H$78,0))*고양시_Modal_split!F$3 * 0.01</f>
        <v>30.87401864456189</v>
      </c>
      <c r="AE79" s="207">
        <f>INDEX($A$78:$H$85,MATCH($L79,$B$78:$B$85,0),MATCH($AA$77,$A$78:$H$78,0))*고양시_Modal_split!G$3 * 0.01</f>
        <v>3.0975024158120976</v>
      </c>
      <c r="AF79" s="207">
        <f>INDEX($A$78:$H$85,MATCH($L79,$B$78:$B$85,0),MATCH($AA$77,$A$78:$H$78,0))*고양시_Modal_split!H$3 * 0.01</f>
        <v>3.3668504519696718E-2</v>
      </c>
      <c r="AG79" s="207">
        <f>INDEX($A$78:$H$85,MATCH($L79,$B$78:$B$85,0),MATCH($AA$77,$A$78:$H$78,0))*고양시_Modal_split!I$3 * 0.01</f>
        <v>9.3598442564756859</v>
      </c>
      <c r="AH79" s="207">
        <f>INDEX($A$78:$H$85,MATCH($L79,$B$78:$B$85,0),MATCH($AA$77,$A$78:$H$78,0))*고양시_Modal_split!J$3 * 0.01</f>
        <v>102.48692775795682</v>
      </c>
      <c r="AI79" s="207">
        <f>INDEX($A$78:$H$85,MATCH($L79,$B$78:$B$85,0),MATCH($AA$77,$A$78:$H$78,0))*고양시_Modal_split!K$3 * 0.01</f>
        <v>0.50502756779545077</v>
      </c>
      <c r="AJ79" s="207">
        <f>INDEX($A$78:$H$85,MATCH($L79,$B$78:$B$85,0),MATCH($AA$77,$A$78:$H$78,0))*고양시_Modal_split!L$3 * 0.01</f>
        <v>10.167888364948409</v>
      </c>
      <c r="AK79" s="207">
        <f>INDEX($A$78:$H$85,MATCH($L79,$B$78:$B$85,0),MATCH($AA$77,$A$78:$H$78,0))*고양시_Modal_split!M$3 * 0.01</f>
        <v>0.77437560395302441</v>
      </c>
      <c r="AL79" s="207">
        <f>INDEX($A$78:$H$85,MATCH($L79,$B$78:$B$85,0),MATCH($AA$77,$A$78:$H$78,0))*고양시_Modal_split!N$3 * 0.01</f>
        <v>0.33668504519696718</v>
      </c>
      <c r="AM79" s="207">
        <f>INDEX($A$78:$H$85,MATCH($L79,$B$78:$B$85,0),MATCH($AA$77,$A$78:$H$78,0))*고양시_Modal_split!O$3 * 0.01</f>
        <v>0.60603308135454081</v>
      </c>
      <c r="AN79" s="207">
        <f>INDEX($A$78:$H$85,MATCH($L79,$B$78:$B$85,0),MATCH($AA$77,$A$78:$H$78,0))*고양시_Modal_split!P$3 * 0.01</f>
        <v>336.68504519696717</v>
      </c>
      <c r="AO79" s="303">
        <f>INDEX($A$78:$H$85,MATCH($L36,$B$78:$B$85,0),MATCH($AO$77,$A$78:$H$78,0))*고양시_Modal_split!C$3 * 0.01</f>
        <v>5.4081405496949689E-2</v>
      </c>
      <c r="AP79" s="303">
        <f>INDEX($A$78:$H$85,MATCH($L36,$B$78:$B$85,0),MATCH($AO$77,$A$78:$H$78,0))*고양시_Modal_split!D$3 * 0.01</f>
        <v>9.0837446447198005</v>
      </c>
      <c r="AQ79" s="303">
        <f>INDEX($A$78:$H$85,MATCH($L36,$B$78:$B$85,0),MATCH($AO$77,$A$78:$H$78,0))*고양시_Modal_split!E$3 * 0.01</f>
        <v>1.0990114188487277</v>
      </c>
      <c r="AR79" s="303">
        <f>INDEX($A$78:$H$85,MATCH($L36,$B$78:$B$85,0),MATCH($AO$77,$A$78:$H$78,0))*고양시_Modal_split!F$3 * 0.01</f>
        <v>1.7711660300251026</v>
      </c>
      <c r="AS79" s="303">
        <f>INDEX($A$78:$H$85,MATCH($L36,$B$78:$B$85,0),MATCH($AO$77,$A$78:$H$78,0))*고양시_Modal_split!G$3 * 0.01</f>
        <v>0.1776960466328347</v>
      </c>
      <c r="AT79" s="303">
        <f>INDEX($A$78:$H$85,MATCH($L36,$B$78:$B$85,0),MATCH($AO$77,$A$78:$H$78,0))*고양시_Modal_split!H$3 * 0.01</f>
        <v>1.9314787677482035E-3</v>
      </c>
      <c r="AU79" s="303">
        <f>INDEX($A$78:$H$85,MATCH($L36,$B$78:$B$85,0),MATCH($AO$77,$A$78:$H$78,0))*고양시_Modal_split!I$3 * 0.01</f>
        <v>0.53695109743400049</v>
      </c>
      <c r="AV79" s="303">
        <f>INDEX($A$78:$H$85,MATCH($L36,$B$78:$B$85,0),MATCH($AO$77,$A$78:$H$78,0))*고양시_Modal_split!J$3 * 0.01</f>
        <v>5.8794213690255308</v>
      </c>
      <c r="AW79" s="303">
        <f>INDEX($A$78:$H$85,MATCH($L36,$B$78:$B$85,0),MATCH($AO$77,$A$78:$H$78,0))*고양시_Modal_split!K$3 * 0.01</f>
        <v>2.897218151622305E-2</v>
      </c>
      <c r="AX79" s="303">
        <f>INDEX($A$78:$H$85,MATCH($L36,$B$78:$B$85,0),MATCH($AO$77,$A$78:$H$78,0))*고양시_Modal_split!L$3 * 0.01</f>
        <v>0.58330658785995748</v>
      </c>
      <c r="AY79" s="303">
        <f>INDEX($A$78:$H$85,MATCH($L36,$B$78:$B$85,0),MATCH($AO$77,$A$78:$H$78,0))*고양시_Modal_split!M$3 * 0.01</f>
        <v>4.4424011658208674E-2</v>
      </c>
      <c r="AZ79" s="303">
        <f>INDEX($A$78:$H$85,MATCH($L36,$B$78:$B$85,0),MATCH($AO$77,$A$78:$H$78,0))*고양시_Modal_split!N$3 * 0.01</f>
        <v>1.9314787677482036E-2</v>
      </c>
      <c r="BA79" s="207">
        <f>INDEX($A$78:$H$85,MATCH($L36,$B$78:$B$85,0),MATCH($AO$77,$A$78:$H$78,0))*고양시_Modal_split!O$3 * 0.01</f>
        <v>3.476661781946766E-2</v>
      </c>
      <c r="BB79" s="207">
        <f>INDEX($A$78:$H$85,MATCH($L36,$B$78:$B$85,0),MATCH($AO$77,$A$78:$H$78,0))*고양시_Modal_split!P$3 * 0.01</f>
        <v>19.314787677482034</v>
      </c>
      <c r="BC79" s="207">
        <f>INDEX($A$78:$H$85,MATCH($L79,$B$78:$B$85,0),MATCH($BC$77,$A$78:$H$78,0))*고양시_Modal_split!C$3 * 0.01</f>
        <v>8.4989112881534492E-5</v>
      </c>
      <c r="BD79" s="207">
        <f>INDEX($A$78:$H$85,MATCH($L79,$B$78:$B$85,0),MATCH($BC$77,$A$78:$H$78,0))*고양시_Modal_split!D$3 * 0.01</f>
        <v>1.4275135638637739E-2</v>
      </c>
      <c r="BE79" s="207">
        <f>INDEX($A$78:$H$85,MATCH($L79,$B$78:$B$85,0),MATCH($BC$77,$A$78:$H$78,0))*고양시_Modal_split!E$3 * 0.01</f>
        <v>1.7271001867711828E-3</v>
      </c>
      <c r="BF79" s="207">
        <f>INDEX($A$78:$H$85,MATCH($L79,$B$78:$B$85,0),MATCH($BC$77,$A$78:$H$78,0))*고양시_Modal_split!F$3 * 0.01</f>
        <v>2.7833934468702542E-3</v>
      </c>
      <c r="BG79" s="207">
        <f>INDEX($A$78:$H$85,MATCH($L79,$B$78:$B$85,0),MATCH($BC$77,$A$78:$H$78,0))*고양시_Modal_split!G$3 * 0.01</f>
        <v>2.7924994232504186E-4</v>
      </c>
      <c r="BH79" s="207">
        <f>INDEX($A$78:$H$85,MATCH($L79,$B$78:$B$85,0),MATCH($BC$77,$A$78:$H$78,0))*고양시_Modal_split!H$3 * 0.01</f>
        <v>3.0353254600548035E-6</v>
      </c>
      <c r="BI79" s="207">
        <f>INDEX($A$78:$H$85,MATCH($L79,$B$78:$B$85,0),MATCH($BC$77,$A$78:$H$78,0))*고양시_Modal_split!I$3 * 0.01</f>
        <v>8.4382047789523522E-4</v>
      </c>
      <c r="BJ79" s="207">
        <f>INDEX($A$78:$H$85,MATCH($L79,$B$78:$B$85,0),MATCH($BC$77,$A$78:$H$78,0))*고양시_Modal_split!J$3 * 0.01</f>
        <v>9.2395307004068204E-3</v>
      </c>
      <c r="BK79" s="207">
        <f>INDEX($A$78:$H$85,MATCH($L79,$B$78:$B$85,0),MATCH($BC$77,$A$78:$H$78,0))*고양시_Modal_split!K$3 * 0.01</f>
        <v>4.5529881900822047E-5</v>
      </c>
      <c r="BL79" s="207">
        <f>INDEX($A$78:$H$85,MATCH($L79,$B$78:$B$85,0),MATCH($BC$77,$A$78:$H$78,0))*고양시_Modal_split!L$3 * 0.01</f>
        <v>9.1666828893655062E-4</v>
      </c>
      <c r="BM79" s="207">
        <f>INDEX($A$78:$H$85,MATCH($L79,$B$78:$B$85,0),MATCH($BC$77,$A$78:$H$78,0))*고양시_Modal_split!M$3 * 0.01</f>
        <v>6.9812485581260465E-5</v>
      </c>
      <c r="BN79" s="207">
        <f>INDEX($A$78:$H$85,MATCH($L79,$B$78:$B$85,0),MATCH($BC$77,$A$78:$H$78,0))*고양시_Modal_split!N$3 * 0.01</f>
        <v>3.0353254600548034E-5</v>
      </c>
      <c r="BO79" s="207">
        <f>INDEX($A$78:$H$85,MATCH($L79,$B$78:$B$85,0),MATCH($BC$77,$A$78:$H$78,0))*고양시_Modal_split!O$3 * 0.01</f>
        <v>5.4635858280986451E-5</v>
      </c>
      <c r="BP79" s="207">
        <f>INDEX($A$78:$H$85,MATCH($L79,$B$78:$B$85,0),MATCH($BC$77,$A$78:$H$78,0))*고양시_Modal_split!P$3 * 0.01</f>
        <v>3.0353254600548031E-2</v>
      </c>
      <c r="BQ79" s="207">
        <f>INDEX($A$78:$H$85,MATCH($L36,$B$78:$B$85,0),MATCH($BQ$77,$A$78:$H$78,0))*고양시_Modal_split!C$3 * 0.01</f>
        <v>3.2106998199690783E-4</v>
      </c>
      <c r="BR79" s="207">
        <f>INDEX($A$78:$H$85,MATCH($L36,$B$78:$B$85,0),MATCH($BQ$77,$A$78:$H$78,0))*고양시_Modal_split!D$3 * 0.01</f>
        <v>5.3928290190409206E-2</v>
      </c>
      <c r="BS79" s="207">
        <f>INDEX($A$78:$H$85,MATCH($L36,$B$78:$B$85,0),MATCH($BQ$77,$A$78:$H$78,0))*고양시_Modal_split!E$3 * 0.01</f>
        <v>6.5246007055800191E-3</v>
      </c>
      <c r="BT79" s="207">
        <f>INDEX($A$78:$H$85,MATCH($L36,$B$78:$B$85,0),MATCH($BQ$77,$A$78:$H$78,0))*고양시_Modal_split!F$3 * 0.01</f>
        <v>1.0515041910398733E-2</v>
      </c>
      <c r="BU79" s="207">
        <f>INDEX($A$78:$H$85,MATCH($L36,$B$78:$B$85,0),MATCH($BQ$77,$A$78:$H$78,0))*고양시_Modal_split!G$3 * 0.01</f>
        <v>1.0549442265612686E-3</v>
      </c>
      <c r="BV79" s="207">
        <f>INDEX($A$78:$H$85,MATCH($L36,$B$78:$B$85,0),MATCH($BQ$77,$A$78:$H$78,0))*고양시_Modal_split!H$3 * 0.01</f>
        <v>1.1466785071318137E-5</v>
      </c>
      <c r="BW79" s="207">
        <f>INDEX($A$78:$H$85,MATCH($L36,$B$78:$B$85,0),MATCH($BQ$77,$A$78:$H$78,0))*고양시_Modal_split!I$3 * 0.01</f>
        <v>3.1877662498264419E-3</v>
      </c>
      <c r="BX79" s="207">
        <f>INDEX($A$78:$H$85,MATCH($L36,$B$78:$B$85,0),MATCH($BQ$77,$A$78:$H$78,0))*고양시_Modal_split!J$3 * 0.01</f>
        <v>3.4904893757092416E-2</v>
      </c>
      <c r="BY79" s="207">
        <f>INDEX($A$78:$H$85,MATCH($L36,$B$78:$B$85,0),MATCH($BQ$77,$A$78:$H$78,0))*고양시_Modal_split!K$3 * 0.01</f>
        <v>1.7200177606977205E-4</v>
      </c>
      <c r="BZ79" s="207">
        <f>INDEX($A$78:$H$85,MATCH($L36,$B$78:$B$85,0),MATCH($BQ$77,$A$78:$H$78,0))*고양시_Modal_split!L$3 * 0.01</f>
        <v>3.4629690915380781E-3</v>
      </c>
      <c r="CA79" s="207">
        <f>INDEX($A$78:$H$85,MATCH($L36,$B$78:$B$85,0),MATCH($BQ$77,$A$78:$H$78,0))*고양시_Modal_split!M$3 * 0.01</f>
        <v>2.6373605664031715E-4</v>
      </c>
      <c r="CB79" s="207">
        <f>INDEX($A$78:$H$85,MATCH($L36,$B$78:$B$85,0),MATCH($BQ$77,$A$78:$H$78,0))*고양시_Modal_split!N$3 * 0.01</f>
        <v>1.146678507131814E-4</v>
      </c>
      <c r="CC79" s="207">
        <f>INDEX($A$78:$H$85,MATCH($L36,$B$78:$B$85,0),MATCH($BQ$77,$A$78:$H$78,0))*고양시_Modal_split!O$3 * 0.01</f>
        <v>2.0640213128372646E-4</v>
      </c>
      <c r="CD79" s="207">
        <f>INDEX($A$78:$H$85,MATCH($L36,$B$78:$B$85,0),MATCH($BQ$77,$A$78:$H$78,0))*고양시_Modal_split!P$3 * 0.01</f>
        <v>0.11466785071318138</v>
      </c>
      <c r="CE79" s="304">
        <f>M79+AA79+AO79+BC79+BQ79</f>
        <v>1.1274655714864346</v>
      </c>
      <c r="CF79" s="304">
        <f t="shared" ref="CF79:CR85" si="17">N79+AB79+AP79+BD79+BR79</f>
        <v>189.37394938216795</v>
      </c>
      <c r="CG79" s="304">
        <f t="shared" si="17"/>
        <v>22.911711077706475</v>
      </c>
      <c r="CH79" s="304">
        <f t="shared" si="17"/>
        <v>36.924497466180739</v>
      </c>
      <c r="CI79" s="304">
        <f t="shared" si="17"/>
        <v>3.7045297348839989</v>
      </c>
      <c r="CJ79" s="304">
        <f t="shared" si="17"/>
        <v>4.0266627553086951E-2</v>
      </c>
      <c r="CK79" s="304">
        <f t="shared" si="17"/>
        <v>11.194122459758171</v>
      </c>
      <c r="CL79" s="304">
        <f t="shared" si="17"/>
        <v>122.5716142715967</v>
      </c>
      <c r="CM79" s="304">
        <f t="shared" si="17"/>
        <v>0.60399941329630435</v>
      </c>
      <c r="CN79" s="304">
        <f t="shared" si="17"/>
        <v>12.16052152103226</v>
      </c>
      <c r="CO79" s="304">
        <f t="shared" si="17"/>
        <v>0.92613243372099974</v>
      </c>
      <c r="CP79" s="304">
        <f t="shared" si="17"/>
        <v>0.40266627553086953</v>
      </c>
      <c r="CQ79" s="304">
        <f t="shared" si="17"/>
        <v>0.72479929595556514</v>
      </c>
      <c r="CR79" s="304">
        <f t="shared" si="17"/>
        <v>402.66627553086954</v>
      </c>
      <c r="CS79" s="305">
        <f>H79-CR79</f>
        <v>0</v>
      </c>
      <c r="CV79" s="265"/>
      <c r="CW79" s="265" t="s">
        <v>710</v>
      </c>
      <c r="CX79" s="267">
        <f>INDEX($M$77:$Z$85,MATCH($CW79,$L$77:$L$85,0),MATCH(CX$78,$M$78:$Z$78,0))/INDEX(고양시_재차인원!$D$4:$H$35,MATCH("고양시",고양시_재차인원!$B$4:$B$35,0),MATCH($CX$77,고양시_재차인원!$D$4:$H$4,0))</f>
        <v>19.534843353111995</v>
      </c>
      <c r="CY79" s="267">
        <f>INDEX($M$77:$Z$85,MATCH($CW79,$L$77:$L$85,0),MATCH(CY$78,$M$78:$Z$78,0))/INDEX(고양시_재차인원!$K$4:$O$20,MATCH("경기도",고양시_재차인원!$K$4:$K$20,0),MATCH(CY$78,고양시_재차인원!$K$4:$O$4,0))</f>
        <v>1.6158882094861619E-4</v>
      </c>
      <c r="CZ79" s="267">
        <f>INDEX($M$77:$Z$85,MATCH($CW79,$L$77:$L$85,0),MATCH(CZ$78,$M$78:$Z$78,0))/INDEX(고양시_재차인원!$K$4:$O$20,MATCH("경기도",고양시_재차인원!$K$4:$K$20,0),MATCH(CZ$78,고양시_재차인원!$K$4:$O$4,0))</f>
        <v>4.4921692223715295E-2</v>
      </c>
      <c r="DA79" s="267">
        <f>INDEX($M$77:$Z$85,MATCH($CW79,$L$77:$L$85,0),MATCH(DA$78,$M$78:$Z$78,0))/INDEX(고양시_재차인원!$D$4:$H$35,MATCH("고양시",고양시_재차인원!$B$4:$B$35,0),MATCH($CX$77,고양시_재차인원!$D$4:$H$4,0))</f>
        <v>1.254416902538767</v>
      </c>
      <c r="DB79" s="267">
        <f>INDEX($AA$77:$AN$85,MATCH($CW79,$L$77:$L$85,0),MATCH(DB$78,$AA$78:$AN$78,0))/INDEX(고양시_재차인원!$D$4:$H$35,MATCH("고양시",고양시_재차인원!$B$4:$B$35,0),MATCH($DB$77,고양시_재차인원!$D$4:$H$4,0))</f>
        <v>112.29998351498843</v>
      </c>
      <c r="DC79" s="267">
        <f>INDEX($AA$77:$AN$85,MATCH($CW79,$L$77:$L$85,0),MATCH(DC$78,$AA$78:$AN$78,0))/INDEX(고양시_재차인원!$K$4:$O$20,MATCH("경기도",고양시_재차인원!$K$4:$K$20,0),MATCH(DC$78,고양시_재차인원!$K$4:$O$4,0))</f>
        <v>1.1694513553211783E-3</v>
      </c>
      <c r="DD79" s="267">
        <f>INDEX($AA$77:$AN$85,MATCH($CW79,$L$77:$L$85,0),MATCH(DD$78,$AA$78:$AN$78,0))/INDEX(고양시_재차인원!$K$4:$O$20,MATCH("경기도",고양시_재차인원!$K$4:$K$20,0),MATCH(DD$78,고양시_재차인원!$K$4:$O$4,0))</f>
        <v>0.32510747677928747</v>
      </c>
      <c r="DE79" s="267">
        <f>INDEX($AA$77:$AN$85,MATCH($CW79,$L$77:$L$85,0),MATCH(DE$78,$AA$78:$AN$78,0))/INDEX(고양시_재차인원!$D$4:$H$35,MATCH("고양시",고양시_재차인원!$B$4:$B$35,0),MATCH($DB$77,고양시_재차인원!$D$4:$H$4,0))</f>
        <v>7.2112683439350418</v>
      </c>
      <c r="DF79" s="267">
        <f>INDEX($AO$77:$BB$85,MATCH($CW79,$L$77:$L$85,0),MATCH(DF$78,$AO$78:$BB$78,0))/INDEX(고양시_재차인원!$D$4:$H$35,MATCH("고양시",고양시_재차인원!$B$4:$B$35,0),MATCH($DF$77,고양시_재차인원!$D$4:$H$4,0))</f>
        <v>6.9874958805536922</v>
      </c>
      <c r="DG79" s="267">
        <f>INDEX($AO$77:$BB$85,MATCH($CW79,$L$77:$L$85,0),MATCH(DG$78,$AO$78:$BB$78,0))/INDEX(고양시_재차인원!$K$4:$O$20,MATCH("경기도",고양시_재차인원!$K$4:$K$20,0),MATCH(DG$78,고양시_재차인원!$K$4:$O$4,0))</f>
        <v>6.7088529619597207E-5</v>
      </c>
      <c r="DH79" s="267">
        <f>INDEX($AO$77:$BB$85,MATCH($CW79,$L$77:$L$85,0),MATCH(DH$78,$AO$78:$BB$78,0))/INDEX(고양시_재차인원!$K$4:$O$20,MATCH("경기도",고양시_재차인원!$K$4:$K$20,0),MATCH(DH$78,고양시_재차인원!$K$4:$O$4,0))</f>
        <v>1.8650611234248021E-2</v>
      </c>
      <c r="DI79" s="267">
        <f>INDEX($AO$77:$BB$85,MATCH($CW79,$L$77:$L$85,0),MATCH(DI$78,$AO$78:$BB$78,0))/INDEX(고양시_재차인원!$D$4:$H$35,MATCH("고양시",고양시_재차인원!$B$4:$B$35,0),MATCH($DF$77,고양시_재차인원!$D$4:$H$4,0))</f>
        <v>0.44869737527689035</v>
      </c>
      <c r="DJ79" s="267">
        <f>INDEX($BC$77:$BP$85,MATCH($CW79,$L$77:$L$85,0),MATCH(DJ$78,$BC$78:$BP$78,0))/INDEX(고양시_재차인원!$D$4:$H$35,MATCH("고양시",고양시_재차인원!$B$4:$B$35,0),MATCH($DJ$77,고양시_재차인원!$D$4:$H$4,0))</f>
        <v>1.0496423263704219E-2</v>
      </c>
      <c r="DK79" s="267">
        <f>INDEX($BC$77:$BP$85,MATCH($CW79,$L$77:$L$85,0),MATCH(DK$78,$BC$78:$BP$78,0))/INDEX(고양시_재차인원!$K$4:$O$20,MATCH("경기도",고양시_재차인원!$K$4:$K$20,0),MATCH(DK$78,고양시_재차인원!$K$4:$O$4,0))</f>
        <v>1.0542985272854476E-7</v>
      </c>
      <c r="DL79" s="267">
        <f>INDEX($BC$77:$BP$85,MATCH($CW79,$L$77:$L$85,0),MATCH(DL$78,$BC$78:$BP$78,0))/INDEX(고양시_재차인원!$K$4:$O$20,MATCH("경기도",고양시_재차인원!$K$4:$K$20,0),MATCH(DL$78,고양시_재차인원!$K$4:$O$4,0))</f>
        <v>2.9309499058535437E-5</v>
      </c>
      <c r="DM79" s="267">
        <f>INDEX($BC$77:$BP$85,MATCH($CW79,$L$77:$L$85,0),MATCH(DM$78,$BC$78:$BP$78,0))/INDEX(고양시_재차인원!$D$4:$H$35,MATCH("고양시",고양시_재차인원!$B$4:$B$35,0),MATCH($DJ$77,고양시_재차인원!$D$4:$H$4,0))</f>
        <v>6.7402080068864007E-4</v>
      </c>
      <c r="DN79" s="267">
        <f>INDEX($BQ$77:$CD$85,MATCH($CW79,$L$77:$L$85,0),MATCH(DN$78,$BQ$78:$CD$78,0))/INDEX(고양시_재차인원!$D$4:$H$35,MATCH("고양시",고양시_재차인원!$B$4:$B$35,0),MATCH($DN$77,고양시_재차인원!$D$4:$H$4,0))</f>
        <v>4.2800230309848579E-2</v>
      </c>
      <c r="DO79" s="267">
        <f>INDEX($BQ$77:$CD$85,MATCH($CW79,$L$77:$L$85,0),MATCH(DO$78,$BQ$78:$CD$78,0))/INDEX(고양시_재차인원!$K$4:$O$20,MATCH("경기도",고양시_재차인원!$K$4:$K$20,0),MATCH(DO$78,고양시_재차인원!$K$4:$O$4,0))</f>
        <v>3.9829055475227987E-7</v>
      </c>
      <c r="DP79" s="267">
        <f>INDEX($BQ$77:$CD$85,MATCH($CW79,$L$77:$L$85,0),MATCH(DP$78,$BQ$78:$CD$78,0))/INDEX(고양시_재차인원!$K$4:$O$20,MATCH("경기도",고양시_재차인원!$K$4:$K$20,0),MATCH(DP$78,고양시_재차인원!$K$4:$O$4,0))</f>
        <v>1.107247742211338E-4</v>
      </c>
      <c r="DQ79" s="267">
        <f>INDEX($BQ$77:$CD$85,MATCH($CW79,$L$77:$L$85,0),MATCH(DQ$78,$BQ$78:$CD$78,0))/INDEX(고양시_재차인원!$D$4:$H$35,MATCH("고양시",고양시_재차인원!$B$4:$B$35,0),MATCH($DN$77,고양시_재차인원!$D$4:$H$4,0))</f>
        <v>2.7483881678873633E-3</v>
      </c>
      <c r="DR79" s="270">
        <f>CX79+DB79+DF79+DJ79+DN79</f>
        <v>138.87561940222767</v>
      </c>
      <c r="DS79" s="270">
        <f t="shared" ref="DS79:DU85" si="18">CY79+DC79+DG79+DK79+DO79</f>
        <v>1.3986324262968725E-3</v>
      </c>
      <c r="DT79" s="270">
        <f t="shared" si="18"/>
        <v>0.38881981451053049</v>
      </c>
      <c r="DU79" s="270">
        <f t="shared" si="18"/>
        <v>8.9178050307192755</v>
      </c>
      <c r="DW79" s="278"/>
      <c r="DX79" s="278" t="s">
        <v>710</v>
      </c>
      <c r="DY79" s="281">
        <f>DR79+DU79</f>
        <v>147.79342443294695</v>
      </c>
      <c r="DZ79" s="281">
        <f>DS79+DT79</f>
        <v>0.39021844693682739</v>
      </c>
      <c r="EB79" s="278"/>
      <c r="EC79" s="278" t="s">
        <v>12</v>
      </c>
      <c r="ED79" s="281">
        <f>DY79</f>
        <v>147.79342443294695</v>
      </c>
      <c r="EE79" s="281">
        <f t="shared" ref="EE79:EE85" si="19">DZ79</f>
        <v>0.39021844693682739</v>
      </c>
      <c r="EL79" s="420" t="s">
        <v>728</v>
      </c>
      <c r="EM79" s="420"/>
      <c r="EN79" s="420"/>
      <c r="EO79" s="420"/>
      <c r="EP79" s="421">
        <v>849201</v>
      </c>
      <c r="EQ79" s="422">
        <f>ED86</f>
        <v>750.28309201690934</v>
      </c>
      <c r="ER79" s="422">
        <f>EE86</f>
        <v>1.9809697491827802</v>
      </c>
      <c r="ES79">
        <v>0</v>
      </c>
      <c r="EU79" s="306" t="s">
        <v>728</v>
      </c>
      <c r="EV79" s="306"/>
      <c r="EW79" s="306"/>
      <c r="EX79" s="306"/>
      <c r="EY79" s="307">
        <v>849201</v>
      </c>
      <c r="EZ79" s="308">
        <f>EQ79*$EI$29</f>
        <v>750.28309201690934</v>
      </c>
      <c r="FA79" s="308">
        <f t="shared" ref="FA79" si="20">ER79*$EI$29</f>
        <v>1.9809697491827802</v>
      </c>
      <c r="FE79" t="s">
        <v>564</v>
      </c>
      <c r="FF79" t="s">
        <v>565</v>
      </c>
      <c r="FG79" t="s">
        <v>566</v>
      </c>
    </row>
    <row r="80" spans="1:164" ht="25">
      <c r="A80" s="205"/>
      <c r="B80" s="205" t="s">
        <v>712</v>
      </c>
      <c r="C80" s="400">
        <f>$D9*KTDB_TripDistribution_2045!T$12 * (1+KTDB_발생량도착량_증가율!$C$7) * (1+KTDB_발생량도착량_증가율!$D$8*5) * (1+KTDB_발생량도착량_증가율!$E$8*5) * (1+KTDB_발생량도착량_증가율!$F$8*5) * (1+KTDB_발생량도착량_증가율!$G$8*5)</f>
        <v>88.401494780409067</v>
      </c>
      <c r="D80" s="400">
        <f>$D9*KTDB_TripDistribution_2045!U$12 * (1+KTDB_발생량도착량_증가율!$C$7) * (1+KTDB_발생량도착량_증가율!$D$8*5) * (1+KTDB_발생량도착량_증가율!$E$8*5) * (1+KTDB_발생량도착량_증가율!$F$8*5) * (1+KTDB_발생량도착량_증가율!$G$8*5)</f>
        <v>639.77970305409758</v>
      </c>
      <c r="E80" s="400">
        <f>$D9*KTDB_TripDistribution_2045!V$12 * (1+KTDB_발생량도착량_증가율!$C$7) * (1+KTDB_발생량도착량_증가율!$D$8*5) * (1+KTDB_발생량도착량_증가율!$E$8*5) * (1+KTDB_발생량도착량_증가율!$F$8*5) * (1+KTDB_발생량도착량_증가율!$G$8*5)</f>
        <v>36.702577976468177</v>
      </c>
      <c r="F80" s="400">
        <f>$D9*KTDB_TripDistribution_2045!W$12 * (1+KTDB_발생량도착량_증가율!$C$7) * (1+KTDB_발생량도착량_증가율!$D$8*5) * (1+KTDB_발생량도착량_증가율!$E$8*5) * (1+KTDB_발생량도착량_증가율!$F$8*5) * (1+KTDB_발생량도착량_증가율!$G$8*5)</f>
        <v>5.7678226259510079E-2</v>
      </c>
      <c r="G80" s="400">
        <f>$D9*KTDB_TripDistribution_2045!X$12 * (1+KTDB_발생량도착량_증가율!$C$7) * (1+KTDB_발생량도착량_증가율!$D$8*5) * (1+KTDB_발생량도착량_증가율!$E$8*5) * (1+KTDB_발생량도착량_증가율!$F$8*5) * (1+KTDB_발생량도착량_증가율!$G$8*5)</f>
        <v>0.21789552142481564</v>
      </c>
      <c r="H80" s="400">
        <f>$D9*KTDB_TripDistribution_2045!Y$12 * (1+KTDB_발생량도착량_증가율!$C$7) * (1+KTDB_발생량도착량_증가율!$D$8*5) * (1+KTDB_발생량도착량_증가율!$E$8*5) * (1+KTDB_발생량도착량_증가율!$F$8*5) * (1+KTDB_발생량도착량_증가율!$G$8*5)</f>
        <v>765.15934955865907</v>
      </c>
      <c r="J80" s="230">
        <f t="shared" si="16"/>
        <v>765.15934955865919</v>
      </c>
      <c r="K80" s="206"/>
      <c r="L80" s="206" t="s">
        <v>712</v>
      </c>
      <c r="M80" s="206">
        <f>INDEX($A$78:$H$85,MATCH($L80,$B$78:$B$85,0),MATCH($M$77,$A$78:$H$78,0))*고양시_Modal_split!C$3 * 0.01</f>
        <v>0.24752418538514537</v>
      </c>
      <c r="N80" s="206">
        <f>INDEX($A$78:$H$85,MATCH($L80,$B$78:$B$85,0),MATCH($M$77,$A$78:$H$78,0))*고양시_Modal_split!D$3 * 0.01</f>
        <v>41.57522299522639</v>
      </c>
      <c r="O80" s="206">
        <f>INDEX($A$78:$H$85,MATCH($L80,$B$78:$B$85,0),MATCH($M$77,$A$78:$H$78,0))*고양시_Modal_split!E$3 * 0.01</f>
        <v>5.030045053005276</v>
      </c>
      <c r="P80" s="206">
        <f>INDEX($A$78:$H$85,MATCH($L80,$B$78:$B$85,0),MATCH($M$77,$A$78:$H$78,0))*고양시_Modal_split!F$3 * 0.01</f>
        <v>8.1064170713635111</v>
      </c>
      <c r="Q80" s="206">
        <f>INDEX($A$78:$H$85,MATCH($L80,$B$78:$B$85,0),MATCH($M$77,$A$78:$H$78,0))*고양시_Modal_split!G$3 * 0.01</f>
        <v>0.81329375197976339</v>
      </c>
      <c r="R80" s="206">
        <f>INDEX($A$78:$H$85,MATCH($L80,$B$78:$B$85,0),MATCH($M$77,$A$78:$H$78,0))*고양시_Modal_split!H$3 * 0.01</f>
        <v>8.8401494780409075E-3</v>
      </c>
      <c r="S80" s="206">
        <f>INDEX($A$78:$H$85,MATCH($L80,$B$78:$B$85,0),MATCH($M$77,$A$78:$H$78,0))*고양시_Modal_split!I$3 * 0.01</f>
        <v>2.457561554895372</v>
      </c>
      <c r="T80" s="206">
        <f>INDEX($A$78:$H$85,MATCH($L80,$B$78:$B$85,0),MATCH($M$77,$A$78:$H$78,0))*고양시_Modal_split!J$3 * 0.01</f>
        <v>26.909415011156522</v>
      </c>
      <c r="U80" s="206">
        <f>INDEX($A$78:$H$85,MATCH($L80,$B$78:$B$85,0),MATCH($M$77,$A$78:$H$78,0))*고양시_Modal_split!K$3 * 0.01</f>
        <v>0.13260224217061362</v>
      </c>
      <c r="V80" s="206">
        <f>INDEX($A$78:$H$85,MATCH($L80,$B$78:$B$85,0),MATCH($M$77,$A$78:$H$78,0))*고양시_Modal_split!L$3 * 0.01</f>
        <v>2.6697251423683537</v>
      </c>
      <c r="W80" s="206">
        <f>INDEX($A$78:$H$85,MATCH($L80,$B$78:$B$85,0),MATCH($M$77,$A$78:$H$78,0))*고양시_Modal_split!M$3 * 0.01</f>
        <v>0.20332343799494085</v>
      </c>
      <c r="X80" s="206">
        <f>INDEX($A$78:$H$85,MATCH($L80,$B$78:$B$85,0),MATCH($M$77,$A$78:$H$78,0))*고양시_Modal_split!N$3 * 0.01</f>
        <v>8.8401494780409068E-2</v>
      </c>
      <c r="Y80" s="206">
        <f>INDEX($A$78:$H$85,MATCH($L80,$B$78:$B$85,0),MATCH($M$77,$A$78:$H$78,0))*고양시_Modal_split!O$3 * 0.01</f>
        <v>0.15912269060473633</v>
      </c>
      <c r="Z80" s="209">
        <f>INDEX($A$78:$H$85,MATCH($L80,$B$78:$B$85,0),MATCH($M$77,$A$78:$H$78,0))*고양시_Modal_split!P$3 * 0.01</f>
        <v>88.401494780409067</v>
      </c>
      <c r="AA80" s="207">
        <f>INDEX($A$78:$H$85,MATCH($L80,$B$78:$B$85,0),MATCH($AA$77,$A$78:$H$78,0))*고양시_Modal_split!C$3 * 0.01</f>
        <v>1.7913831685514732</v>
      </c>
      <c r="AB80" s="207">
        <f>INDEX($A$78:$H$85,MATCH($L80,$B$78:$B$85,0),MATCH($AA$77,$A$78:$H$78,0))*고양시_Modal_split!D$3 * 0.01</f>
        <v>300.88839434634212</v>
      </c>
      <c r="AC80" s="207">
        <f>INDEX($A$78:$H$85,MATCH($L80,$B$78:$B$85,0),MATCH($AA$77,$A$78:$H$78,0))*고양시_Modal_split!E$3 * 0.01</f>
        <v>36.403465103778153</v>
      </c>
      <c r="AD80" s="207">
        <f>INDEX($A$78:$H$85,MATCH($L80,$B$78:$B$85,0),MATCH($AA$77,$A$78:$H$78,0))*고양시_Modal_split!F$3 * 0.01</f>
        <v>58.667798770060749</v>
      </c>
      <c r="AE80" s="207">
        <f>INDEX($A$78:$H$85,MATCH($L80,$B$78:$B$85,0),MATCH($AA$77,$A$78:$H$78,0))*고양시_Modal_split!G$3 * 0.01</f>
        <v>5.8859732680976968</v>
      </c>
      <c r="AF80" s="207">
        <f>INDEX($A$78:$H$85,MATCH($L80,$B$78:$B$85,0),MATCH($AA$77,$A$78:$H$78,0))*고양시_Modal_split!H$3 * 0.01</f>
        <v>6.3977970305409762E-2</v>
      </c>
      <c r="AG80" s="207">
        <f>INDEX($A$78:$H$85,MATCH($L80,$B$78:$B$85,0),MATCH($AA$77,$A$78:$H$78,0))*고양시_Modal_split!I$3 * 0.01</f>
        <v>17.785875744903912</v>
      </c>
      <c r="AH80" s="207">
        <f>INDEX($A$78:$H$85,MATCH($L80,$B$78:$B$85,0),MATCH($AA$77,$A$78:$H$78,0))*고양시_Modal_split!J$3 * 0.01</f>
        <v>194.74894160966733</v>
      </c>
      <c r="AI80" s="207">
        <f>INDEX($A$78:$H$85,MATCH($L80,$B$78:$B$85,0),MATCH($AA$77,$A$78:$H$78,0))*고양시_Modal_split!K$3 * 0.01</f>
        <v>0.95966955458114644</v>
      </c>
      <c r="AJ80" s="207">
        <f>INDEX($A$78:$H$85,MATCH($L80,$B$78:$B$85,0),MATCH($AA$77,$A$78:$H$78,0))*고양시_Modal_split!L$3 * 0.01</f>
        <v>19.321347032233749</v>
      </c>
      <c r="AK80" s="207">
        <f>INDEX($A$78:$H$85,MATCH($L80,$B$78:$B$85,0),MATCH($AA$77,$A$78:$H$78,0))*고양시_Modal_split!M$3 * 0.01</f>
        <v>1.4714933170244242</v>
      </c>
      <c r="AL80" s="207">
        <f>INDEX($A$78:$H$85,MATCH($L80,$B$78:$B$85,0),MATCH($AA$77,$A$78:$H$78,0))*고양시_Modal_split!N$3 * 0.01</f>
        <v>0.63977970305409759</v>
      </c>
      <c r="AM80" s="207">
        <f>INDEX($A$78:$H$85,MATCH($L80,$B$78:$B$85,0),MATCH($AA$77,$A$78:$H$78,0))*고양시_Modal_split!O$3 * 0.01</f>
        <v>1.1516034654973755</v>
      </c>
      <c r="AN80" s="207">
        <f>INDEX($A$78:$H$85,MATCH($L80,$B$78:$B$85,0),MATCH($AA$77,$A$78:$H$78,0))*고양시_Modal_split!P$3 * 0.01</f>
        <v>639.77970305409758</v>
      </c>
      <c r="AO80" s="303">
        <f>INDEX($A$78:$H$85,MATCH($L37,$B$78:$B$85,0),MATCH($AO$77,$A$78:$H$78,0))*고양시_Modal_split!C$3 * 0.01</f>
        <v>0.10276721833411089</v>
      </c>
      <c r="AP80" s="303">
        <f>INDEX($A$78:$H$85,MATCH($L37,$B$78:$B$85,0),MATCH($AO$77,$A$78:$H$78,0))*고양시_Modal_split!D$3 * 0.01</f>
        <v>17.261222422332985</v>
      </c>
      <c r="AQ80" s="303">
        <f>INDEX($A$78:$H$85,MATCH($L37,$B$78:$B$85,0),MATCH($AO$77,$A$78:$H$78,0))*고양시_Modal_split!E$3 * 0.01</f>
        <v>2.0883766868610389</v>
      </c>
      <c r="AR80" s="303">
        <f>INDEX($A$78:$H$85,MATCH($L37,$B$78:$B$85,0),MATCH($AO$77,$A$78:$H$78,0))*고양시_Modal_split!F$3 * 0.01</f>
        <v>3.3656264004421321</v>
      </c>
      <c r="AS80" s="303">
        <f>INDEX($A$78:$H$85,MATCH($L37,$B$78:$B$85,0),MATCH($AO$77,$A$78:$H$78,0))*고양시_Modal_split!G$3 * 0.01</f>
        <v>0.3376637173835072</v>
      </c>
      <c r="AT80" s="303">
        <f>INDEX($A$78:$H$85,MATCH($L37,$B$78:$B$85,0),MATCH($AO$77,$A$78:$H$78,0))*고양시_Modal_split!H$3 * 0.01</f>
        <v>3.6702577976468176E-3</v>
      </c>
      <c r="AU80" s="303">
        <f>INDEX($A$78:$H$85,MATCH($L37,$B$78:$B$85,0),MATCH($AO$77,$A$78:$H$78,0))*고양시_Modal_split!I$3 * 0.01</f>
        <v>1.0203316677458154</v>
      </c>
      <c r="AV80" s="303">
        <f>INDEX($A$78:$H$85,MATCH($L37,$B$78:$B$85,0),MATCH($AO$77,$A$78:$H$78,0))*고양시_Modal_split!J$3 * 0.01</f>
        <v>11.172264736036913</v>
      </c>
      <c r="AW80" s="303">
        <f>INDEX($A$78:$H$85,MATCH($L37,$B$78:$B$85,0),MATCH($AO$77,$A$78:$H$78,0))*고양시_Modal_split!K$3 * 0.01</f>
        <v>5.5053866964702262E-2</v>
      </c>
      <c r="AX80" s="303">
        <f>INDEX($A$78:$H$85,MATCH($L37,$B$78:$B$85,0),MATCH($AO$77,$A$78:$H$78,0))*고양시_Modal_split!L$3 * 0.01</f>
        <v>1.1084178548893389</v>
      </c>
      <c r="AY80" s="303">
        <f>INDEX($A$78:$H$85,MATCH($L37,$B$78:$B$85,0),MATCH($AO$77,$A$78:$H$78,0))*고양시_Modal_split!M$3 * 0.01</f>
        <v>8.44159293458768E-2</v>
      </c>
      <c r="AZ80" s="303">
        <f>INDEX($A$78:$H$85,MATCH($L37,$B$78:$B$85,0),MATCH($AO$77,$A$78:$H$78,0))*고양시_Modal_split!N$3 * 0.01</f>
        <v>3.6702577976468177E-2</v>
      </c>
      <c r="BA80" s="207">
        <f>INDEX($A$78:$H$85,MATCH($L37,$B$78:$B$85,0),MATCH($AO$77,$A$78:$H$78,0))*고양시_Modal_split!O$3 * 0.01</f>
        <v>6.6064640357642715E-2</v>
      </c>
      <c r="BB80" s="207">
        <f>INDEX($A$78:$H$85,MATCH($L37,$B$78:$B$85,0),MATCH($AO$77,$A$78:$H$78,0))*고양시_Modal_split!P$3 * 0.01</f>
        <v>36.702577976468177</v>
      </c>
      <c r="BC80" s="207">
        <f>INDEX($A$78:$H$85,MATCH($L80,$B$78:$B$85,0),MATCH($BC$77,$A$78:$H$78,0))*고양시_Modal_split!C$3 * 0.01</f>
        <v>1.614990335266282E-4</v>
      </c>
      <c r="BD80" s="207">
        <f>INDEX($A$78:$H$85,MATCH($L80,$B$78:$B$85,0),MATCH($BC$77,$A$78:$H$78,0))*고양시_Modal_split!D$3 * 0.01</f>
        <v>2.7126069809847594E-2</v>
      </c>
      <c r="BE80" s="207">
        <f>INDEX($A$78:$H$85,MATCH($L80,$B$78:$B$85,0),MATCH($BC$77,$A$78:$H$78,0))*고양시_Modal_split!E$3 * 0.01</f>
        <v>3.2818910741661232E-3</v>
      </c>
      <c r="BF80" s="207">
        <f>INDEX($A$78:$H$85,MATCH($L80,$B$78:$B$85,0),MATCH($BC$77,$A$78:$H$78,0))*고양시_Modal_split!F$3 * 0.01</f>
        <v>5.2890933479970747E-3</v>
      </c>
      <c r="BG80" s="207">
        <f>INDEX($A$78:$H$85,MATCH($L80,$B$78:$B$85,0),MATCH($BC$77,$A$78:$H$78,0))*고양시_Modal_split!G$3 * 0.01</f>
        <v>5.3063968158749268E-4</v>
      </c>
      <c r="BH80" s="207">
        <f>INDEX($A$78:$H$85,MATCH($L80,$B$78:$B$85,0),MATCH($BC$77,$A$78:$H$78,0))*고양시_Modal_split!H$3 * 0.01</f>
        <v>5.7678226259510082E-6</v>
      </c>
      <c r="BI80" s="207">
        <f>INDEX($A$78:$H$85,MATCH($L80,$B$78:$B$85,0),MATCH($BC$77,$A$78:$H$78,0))*고양시_Modal_split!I$3 * 0.01</f>
        <v>1.6034546900143801E-3</v>
      </c>
      <c r="BJ80" s="207">
        <f>INDEX($A$78:$H$85,MATCH($L80,$B$78:$B$85,0),MATCH($BC$77,$A$78:$H$78,0))*고양시_Modal_split!J$3 * 0.01</f>
        <v>1.7557252073394869E-2</v>
      </c>
      <c r="BK80" s="207">
        <f>INDEX($A$78:$H$85,MATCH($L80,$B$78:$B$85,0),MATCH($BC$77,$A$78:$H$78,0))*고양시_Modal_split!K$3 * 0.01</f>
        <v>8.6517339389265117E-5</v>
      </c>
      <c r="BL80" s="207">
        <f>INDEX($A$78:$H$85,MATCH($L80,$B$78:$B$85,0),MATCH($BC$77,$A$78:$H$78,0))*고양시_Modal_split!L$3 * 0.01</f>
        <v>1.7418824330372043E-3</v>
      </c>
      <c r="BM80" s="207">
        <f>INDEX($A$78:$H$85,MATCH($L80,$B$78:$B$85,0),MATCH($BC$77,$A$78:$H$78,0))*고양시_Modal_split!M$3 * 0.01</f>
        <v>1.3265992039687317E-4</v>
      </c>
      <c r="BN80" s="207">
        <f>INDEX($A$78:$H$85,MATCH($L80,$B$78:$B$85,0),MATCH($BC$77,$A$78:$H$78,0))*고양시_Modal_split!N$3 * 0.01</f>
        <v>5.7678226259510089E-5</v>
      </c>
      <c r="BO80" s="207">
        <f>INDEX($A$78:$H$85,MATCH($L80,$B$78:$B$85,0),MATCH($BC$77,$A$78:$H$78,0))*고양시_Modal_split!O$3 * 0.01</f>
        <v>1.0382080726711815E-4</v>
      </c>
      <c r="BP80" s="207">
        <f>INDEX($A$78:$H$85,MATCH($L80,$B$78:$B$85,0),MATCH($BC$77,$A$78:$H$78,0))*고양시_Modal_split!P$3 * 0.01</f>
        <v>5.7678226259510079E-2</v>
      </c>
      <c r="BQ80" s="207">
        <f>INDEX($A$78:$H$85,MATCH($L37,$B$78:$B$85,0),MATCH($BQ$77,$A$78:$H$78,0))*고양시_Modal_split!C$3 * 0.01</f>
        <v>6.1010745998948371E-4</v>
      </c>
      <c r="BR80" s="207">
        <f>INDEX($A$78:$H$85,MATCH($L37,$B$78:$B$85,0),MATCH($BQ$77,$A$78:$H$78,0))*고양시_Modal_split!D$3 * 0.01</f>
        <v>0.1024762637260908</v>
      </c>
      <c r="BS80" s="207">
        <f>INDEX($A$78:$H$85,MATCH($L37,$B$78:$B$85,0),MATCH($BQ$77,$A$78:$H$78,0))*고양시_Modal_split!E$3 * 0.01</f>
        <v>1.2398255169072009E-2</v>
      </c>
      <c r="BT80" s="207">
        <f>INDEX($A$78:$H$85,MATCH($L37,$B$78:$B$85,0),MATCH($BQ$77,$A$78:$H$78,0))*고양시_Modal_split!F$3 * 0.01</f>
        <v>1.9981019314655592E-2</v>
      </c>
      <c r="BU80" s="207">
        <f>INDEX($A$78:$H$85,MATCH($L37,$B$78:$B$85,0),MATCH($BQ$77,$A$78:$H$78,0))*고양시_Modal_split!G$3 * 0.01</f>
        <v>2.0046387971083038E-3</v>
      </c>
      <c r="BV80" s="207">
        <f>INDEX($A$78:$H$85,MATCH($L37,$B$78:$B$85,0),MATCH($BQ$77,$A$78:$H$78,0))*고양시_Modal_split!H$3 * 0.01</f>
        <v>2.1789552142481564E-5</v>
      </c>
      <c r="BW80" s="207">
        <f>INDEX($A$78:$H$85,MATCH($L37,$B$78:$B$85,0),MATCH($BQ$77,$A$78:$H$78,0))*고양시_Modal_split!I$3 * 0.01</f>
        <v>6.0574954956098747E-3</v>
      </c>
      <c r="BX80" s="207">
        <f>INDEX($A$78:$H$85,MATCH($L37,$B$78:$B$85,0),MATCH($BQ$77,$A$78:$H$78,0))*고양시_Modal_split!J$3 * 0.01</f>
        <v>6.632739672171388E-2</v>
      </c>
      <c r="BY80" s="207">
        <f>INDEX($A$78:$H$85,MATCH($L37,$B$78:$B$85,0),MATCH($BQ$77,$A$78:$H$78,0))*고양시_Modal_split!K$3 * 0.01</f>
        <v>3.2684328213722347E-4</v>
      </c>
      <c r="BZ80" s="207">
        <f>INDEX($A$78:$H$85,MATCH($L37,$B$78:$B$85,0),MATCH($BQ$77,$A$78:$H$78,0))*고양시_Modal_split!L$3 * 0.01</f>
        <v>6.5804447470294326E-3</v>
      </c>
      <c r="CA80" s="207">
        <f>INDEX($A$78:$H$85,MATCH($L37,$B$78:$B$85,0),MATCH($BQ$77,$A$78:$H$78,0))*고양시_Modal_split!M$3 * 0.01</f>
        <v>5.0115969927707596E-4</v>
      </c>
      <c r="CB80" s="207">
        <f>INDEX($A$78:$H$85,MATCH($L37,$B$78:$B$85,0),MATCH($BQ$77,$A$78:$H$78,0))*고양시_Modal_split!N$3 * 0.01</f>
        <v>2.1789552142481566E-4</v>
      </c>
      <c r="CC80" s="207">
        <f>INDEX($A$78:$H$85,MATCH($L37,$B$78:$B$85,0),MATCH($BQ$77,$A$78:$H$78,0))*고양시_Modal_split!O$3 * 0.01</f>
        <v>3.9221193856466815E-4</v>
      </c>
      <c r="CD80" s="207">
        <f>INDEX($A$78:$H$85,MATCH($L37,$B$78:$B$85,0),MATCH($BQ$77,$A$78:$H$78,0))*고양시_Modal_split!P$3 * 0.01</f>
        <v>0.21789552142481566</v>
      </c>
      <c r="CE80" s="304">
        <f t="shared" ref="CE80:CE85" si="21">M80+AA80+AO80+BC80+BQ80</f>
        <v>2.1424461787642457</v>
      </c>
      <c r="CF80" s="304">
        <f t="shared" si="17"/>
        <v>359.85444209743747</v>
      </c>
      <c r="CG80" s="304">
        <f t="shared" si="17"/>
        <v>43.537566989887708</v>
      </c>
      <c r="CH80" s="304">
        <f t="shared" si="17"/>
        <v>70.165112354529057</v>
      </c>
      <c r="CI80" s="304">
        <f t="shared" si="17"/>
        <v>7.0394660159396629</v>
      </c>
      <c r="CJ80" s="304">
        <f t="shared" si="17"/>
        <v>7.6515934955865922E-2</v>
      </c>
      <c r="CK80" s="304">
        <f t="shared" si="17"/>
        <v>21.271429917730721</v>
      </c>
      <c r="CL80" s="304">
        <f t="shared" si="17"/>
        <v>232.91450600565585</v>
      </c>
      <c r="CM80" s="304">
        <f t="shared" si="17"/>
        <v>1.147739024337989</v>
      </c>
      <c r="CN80" s="304">
        <f t="shared" si="17"/>
        <v>23.107812356671509</v>
      </c>
      <c r="CO80" s="304">
        <f t="shared" si="17"/>
        <v>1.7598665039849157</v>
      </c>
      <c r="CP80" s="304">
        <f t="shared" si="17"/>
        <v>0.76515934955865905</v>
      </c>
      <c r="CQ80" s="304">
        <f t="shared" si="17"/>
        <v>1.3772868292055862</v>
      </c>
      <c r="CR80" s="304">
        <f t="shared" si="17"/>
        <v>765.15934955865919</v>
      </c>
      <c r="CS80" s="305">
        <f t="shared" ref="CS80:CS85" si="22">H80-CR80</f>
        <v>0</v>
      </c>
      <c r="CV80" s="265"/>
      <c r="CW80" s="265" t="s">
        <v>712</v>
      </c>
      <c r="CX80" s="267">
        <f>INDEX($M$77:$Z$85,MATCH($CW80,$L$77:$L$85,0),MATCH(CX$78,$M$78:$Z$78,0))/INDEX(고양시_재차인원!$D$4:$H$35,MATCH("고양시",고양시_재차인원!$B$4:$B$35,0),MATCH($CX$77,고양시_재차인원!$D$4:$H$4,0))</f>
        <v>37.120734817166415</v>
      </c>
      <c r="CY80" s="267">
        <f>INDEX($M$77:$Z$85,MATCH($CW80,$L$77:$L$85,0),MATCH(CY$78,$M$78:$Z$78,0))/INDEX(고양시_재차인원!$K$4:$O$20,MATCH("경기도",고양시_재차인원!$K$4:$K$20,0),MATCH(CY$78,고양시_재차인원!$K$4:$O$4,0))</f>
        <v>3.0705625140815937E-4</v>
      </c>
      <c r="CZ80" s="267">
        <f>INDEX($M$77:$Z$85,MATCH($CW80,$L$77:$L$85,0),MATCH(CZ$78,$M$78:$Z$78,0))/INDEX(고양시_재차인원!$K$4:$O$20,MATCH("경기도",고양시_재차인원!$K$4:$K$20,0),MATCH(CZ$78,고양시_재차인원!$K$4:$O$4,0))</f>
        <v>8.5361637891468292E-2</v>
      </c>
      <c r="DA80" s="267">
        <f>INDEX($M$77:$Z$85,MATCH($CW80,$L$77:$L$85,0),MATCH(DA$78,$M$78:$Z$78,0))/INDEX(고양시_재차인원!$D$4:$H$35,MATCH("고양시",고양시_재차인원!$B$4:$B$35,0),MATCH($CX$77,고양시_재차인원!$D$4:$H$4,0))</f>
        <v>2.3836831628288868</v>
      </c>
      <c r="DB80" s="267">
        <f>INDEX($AA$77:$AN$85,MATCH($CW80,$L$77:$L$85,0),MATCH(DB$78,$AA$78:$AN$78,0))/INDEX(고양시_재차인원!$D$4:$H$35,MATCH("고양시",고양시_재차인원!$B$4:$B$35,0),MATCH($DB$77,고양시_재차인원!$D$4:$H$4,0))</f>
        <v>213.39602435910791</v>
      </c>
      <c r="DC80" s="267">
        <f>INDEX($AA$77:$AN$85,MATCH($CW80,$L$77:$L$85,0),MATCH(DC$78,$AA$78:$AN$78,0))/INDEX(고양시_재차인원!$K$4:$O$20,MATCH("경기도",고양시_재차인원!$K$4:$K$20,0),MATCH(DC$78,고양시_재차인원!$K$4:$O$4,0))</f>
        <v>2.2222289095314264E-3</v>
      </c>
      <c r="DD80" s="267">
        <f>INDEX($AA$77:$AN$85,MATCH($CW80,$L$77:$L$85,0),MATCH(DD$78,$AA$78:$AN$78,0))/INDEX(고양시_재차인원!$K$4:$O$20,MATCH("경기도",고양시_재차인원!$K$4:$K$20,0),MATCH(DD$78,고양시_재차인원!$K$4:$O$4,0))</f>
        <v>0.61777963684973647</v>
      </c>
      <c r="DE80" s="267">
        <f>INDEX($AA$77:$AN$85,MATCH($CW80,$L$77:$L$85,0),MATCH(DE$78,$AA$78:$AN$78,0))/INDEX(고양시_재차인원!$D$4:$H$35,MATCH("고양시",고양시_재차인원!$B$4:$B$35,0),MATCH($DB$77,고양시_재차인원!$D$4:$H$4,0))</f>
        <v>13.70308300158422</v>
      </c>
      <c r="DF80" s="267">
        <f>INDEX($AO$77:$BB$85,MATCH($CW80,$L$77:$L$85,0),MATCH(DF$78,$AO$78:$BB$78,0))/INDEX(고양시_재차인원!$D$4:$H$35,MATCH("고양시",고양시_재차인원!$B$4:$B$35,0),MATCH($DF$77,고양시_재차인원!$D$4:$H$4,0))</f>
        <v>13.277863401794603</v>
      </c>
      <c r="DG80" s="267">
        <f>INDEX($AO$77:$BB$85,MATCH($CW80,$L$77:$L$85,0),MATCH(DG$78,$AO$78:$BB$78,0))/INDEX(고양시_재차인원!$K$4:$O$20,MATCH("경기도",고양시_재차인원!$K$4:$K$20,0),MATCH(DG$78,고양시_재차인원!$K$4:$O$4,0))</f>
        <v>1.2748377206136914E-4</v>
      </c>
      <c r="DH80" s="267">
        <f>INDEX($AO$77:$BB$85,MATCH($CW80,$L$77:$L$85,0),MATCH(DH$78,$AO$78:$BB$78,0))/INDEX(고양시_재차인원!$K$4:$O$20,MATCH("경기도",고양시_재차인원!$K$4:$K$20,0),MATCH(DH$78,고양시_재차인원!$K$4:$O$4,0))</f>
        <v>3.5440488633060624E-2</v>
      </c>
      <c r="DI80" s="267">
        <f>INDEX($AO$77:$BB$85,MATCH($CW80,$L$77:$L$85,0),MATCH(DI$78,$AO$78:$BB$78,0))/INDEX(고양시_재차인원!$D$4:$H$35,MATCH("고양시",고양시_재차인원!$B$4:$B$35,0),MATCH($DF$77,고양시_재차인원!$D$4:$H$4,0))</f>
        <v>0.85262911914564521</v>
      </c>
      <c r="DJ80" s="267">
        <f>INDEX($BC$77:$BP$85,MATCH($CW80,$L$77:$L$85,0),MATCH(DJ$78,$BC$78:$BP$78,0))/INDEX(고양시_재차인원!$D$4:$H$35,MATCH("고양시",고양시_재차인원!$B$4:$B$35,0),MATCH($DJ$77,고양시_재차인원!$D$4:$H$4,0))</f>
        <v>1.9945639566064405E-2</v>
      </c>
      <c r="DK80" s="267">
        <f>INDEX($BC$77:$BP$85,MATCH($CW80,$L$77:$L$85,0),MATCH(DK$78,$BC$78:$BP$78,0))/INDEX(고양시_재차인원!$K$4:$O$20,MATCH("경기도",고양시_재차인원!$K$4:$K$20,0),MATCH(DK$78,고양시_재차인원!$K$4:$O$4,0))</f>
        <v>2.0034118186700273E-7</v>
      </c>
      <c r="DL80" s="267">
        <f>INDEX($BC$77:$BP$85,MATCH($CW80,$L$77:$L$85,0),MATCH(DL$78,$BC$78:$BP$78,0))/INDEX(고양시_재차인원!$K$4:$O$20,MATCH("경기도",고양시_재차인원!$K$4:$K$20,0),MATCH(DL$78,고양시_재차인원!$K$4:$O$4,0))</f>
        <v>5.5694848559026748E-5</v>
      </c>
      <c r="DM80" s="267">
        <f>INDEX($BC$77:$BP$85,MATCH($CW80,$L$77:$L$85,0),MATCH(DM$78,$BC$78:$BP$78,0))/INDEX(고양시_재차인원!$D$4:$H$35,MATCH("고양시",고양시_재차인원!$B$4:$B$35,0),MATCH($DJ$77,고양시_재차인원!$D$4:$H$4,0))</f>
        <v>1.2807959066450032E-3</v>
      </c>
      <c r="DN80" s="267">
        <f>INDEX($BQ$77:$CD$85,MATCH($CW80,$L$77:$L$85,0),MATCH(DN$78,$BQ$78:$CD$78,0))/INDEX(고양시_재차인원!$D$4:$H$35,MATCH("고양시",고양시_재차인원!$B$4:$B$35,0),MATCH($DN$77,고양시_재차인원!$D$4:$H$4,0))</f>
        <v>8.1330368036580003E-2</v>
      </c>
      <c r="DO80" s="267">
        <f>INDEX($BQ$77:$CD$85,MATCH($CW80,$L$77:$L$85,0),MATCH(DO$78,$BQ$78:$CD$78,0))/INDEX(고양시_재차인원!$K$4:$O$20,MATCH("경기도",고양시_재차인원!$K$4:$K$20,0),MATCH(DO$78,고양시_재차인원!$K$4:$O$4,0))</f>
        <v>7.5684446483089839E-7</v>
      </c>
      <c r="DP80" s="267">
        <f>INDEX($BQ$77:$CD$85,MATCH($CW80,$L$77:$L$85,0),MATCH(DP$78,$BQ$78:$CD$78,0))/INDEX(고양시_재차인원!$K$4:$O$20,MATCH("경기도",고양시_재차인원!$K$4:$K$20,0),MATCH(DP$78,고양시_재차인원!$K$4:$O$4,0))</f>
        <v>2.1040276122298975E-4</v>
      </c>
      <c r="DQ80" s="267">
        <f>INDEX($BQ$77:$CD$85,MATCH($CW80,$L$77:$L$85,0),MATCH(DQ$78,$BQ$78:$CD$78,0))/INDEX(고양시_재차인원!$D$4:$H$35,MATCH("고양시",고양시_재차인원!$B$4:$B$35,0),MATCH($DN$77,고양시_재차인원!$D$4:$H$4,0))</f>
        <v>5.2225751960551054E-3</v>
      </c>
      <c r="DR80" s="270">
        <f t="shared" ref="DR80:DR85" si="23">CX80+DB80+DF80+DJ80+DN80</f>
        <v>263.89589858567155</v>
      </c>
      <c r="DS80" s="270">
        <f t="shared" si="18"/>
        <v>2.6577261186476529E-3</v>
      </c>
      <c r="DT80" s="270">
        <f t="shared" si="18"/>
        <v>0.73884786098404742</v>
      </c>
      <c r="DU80" s="270">
        <f t="shared" si="18"/>
        <v>16.945898654661452</v>
      </c>
      <c r="DW80" s="278"/>
      <c r="DX80" s="278" t="s">
        <v>712</v>
      </c>
      <c r="DY80" s="281">
        <f t="shared" ref="DY80:DY85" si="24">DR80+DU80</f>
        <v>280.84179724033299</v>
      </c>
      <c r="DZ80" s="281">
        <f t="shared" ref="DZ80:DZ85" si="25">DS80+DT80</f>
        <v>0.7415055871026951</v>
      </c>
      <c r="EB80" s="278"/>
      <c r="EC80" s="278" t="s">
        <v>667</v>
      </c>
      <c r="ED80" s="281">
        <f t="shared" ref="ED80:ED85" si="26">DY80</f>
        <v>280.84179724033299</v>
      </c>
      <c r="EE80" s="281">
        <f t="shared" si="19"/>
        <v>0.7415055871026951</v>
      </c>
      <c r="FE80" t="s">
        <v>12</v>
      </c>
      <c r="FF80" t="s">
        <v>567</v>
      </c>
      <c r="FG80">
        <v>8014.2473</v>
      </c>
      <c r="FH80" s="277" t="e">
        <f t="shared" ref="FH80:FH85" si="27">FG80/SUMIF($FE$98:$FE$132,"="&amp;FE80,$FG$98:$FG$132)</f>
        <v>#DIV/0!</v>
      </c>
    </row>
    <row r="81" spans="1:164" ht="37.5">
      <c r="A81" s="205"/>
      <c r="B81" s="205" t="s">
        <v>714</v>
      </c>
      <c r="C81" s="400">
        <f>$D10*KTDB_TripDistribution_2045!T$12 * (1+KTDB_발생량도착량_증가율!$C$7) * (1+KTDB_발생량도착량_증가율!$D$8*5) * (1+KTDB_발생량도착량_증가율!$E$8*5) * (1+KTDB_발생량도착량_증가율!$F$8*5) * (1+KTDB_발생량도착량_증가율!$G$8*5)</f>
        <v>16.946318291238367</v>
      </c>
      <c r="D81" s="400">
        <f>$D10*KTDB_TripDistribution_2045!U$12 * (1+KTDB_발생량도착량_증가율!$C$7) * (1+KTDB_발생량도착량_증가율!$D$8*5) * (1+KTDB_발생량도착량_증가율!$E$8*5) * (1+KTDB_발생량도착량_증가율!$F$8*5) * (1+KTDB_발생량도착량_증가율!$G$8*5)</f>
        <v>122.64397238033376</v>
      </c>
      <c r="E81" s="400">
        <f>$D10*KTDB_TripDistribution_2045!V$12 * (1+KTDB_발생량도착량_증가율!$C$7) * (1+KTDB_발생량도착량_증가율!$D$8*5) * (1+KTDB_발생량도착량_증가율!$E$8*5) * (1+KTDB_발생량도착량_증가율!$F$8*5) * (1+KTDB_발생량도착량_증가율!$G$8*5)</f>
        <v>7.035781126136146</v>
      </c>
      <c r="F81" s="400">
        <f>$D10*KTDB_TripDistribution_2045!W$12 * (1+KTDB_발생량도착량_증가율!$C$7) * (1+KTDB_발생량도착량_증가율!$D$8*5) * (1+KTDB_발생량도착량_증가율!$E$8*5) * (1+KTDB_발생량도착량_증가율!$F$8*5) * (1+KTDB_발생량도착량_증가율!$G$8*5)</f>
        <v>1.1056753996023298E-2</v>
      </c>
      <c r="G81" s="400">
        <f>$D10*KTDB_TripDistribution_2045!X$12 * (1+KTDB_발생량도착량_증가율!$C$7) * (1+KTDB_발생량도착량_증가율!$D$8*5) * (1+KTDB_발생량도착량_증가율!$E$8*5) * (1+KTDB_발생량도착량_증가율!$F$8*5) * (1+KTDB_발생량도착량_증가율!$G$8*5)</f>
        <v>4.1769959540532434E-2</v>
      </c>
      <c r="H81" s="400">
        <f>$D10*KTDB_TripDistribution_2045!Y$12 * (1+KTDB_발생량도착량_증가율!$C$7) * (1+KTDB_발생량도착량_증가율!$D$8*5) * (1+KTDB_발생량도착량_증가율!$E$8*5) * (1+KTDB_발생량도착량_증가율!$F$8*5) * (1+KTDB_발생량도착량_증가율!$G$8*5)</f>
        <v>146.67889851124477</v>
      </c>
      <c r="J81" s="230">
        <f t="shared" si="16"/>
        <v>146.67889851124485</v>
      </c>
      <c r="K81" s="206"/>
      <c r="L81" s="206" t="s">
        <v>714</v>
      </c>
      <c r="M81" s="206">
        <f>INDEX($A$78:$H$85,MATCH($L81,$B$78:$B$85,0),MATCH($M$77,$A$78:$H$78,0))*고양시_Modal_split!C$3 * 0.01</f>
        <v>4.7449691215467417E-2</v>
      </c>
      <c r="N81" s="206">
        <f>INDEX($A$78:$H$85,MATCH($L81,$B$78:$B$85,0),MATCH($M$77,$A$78:$H$78,0))*고양시_Modal_split!D$3 * 0.01</f>
        <v>7.9698534923694035</v>
      </c>
      <c r="O81" s="206">
        <f>INDEX($A$78:$H$85,MATCH($L81,$B$78:$B$85,0),MATCH($M$77,$A$78:$H$78,0))*고양시_Modal_split!E$3 * 0.01</f>
        <v>0.96424551077146292</v>
      </c>
      <c r="P81" s="206">
        <f>INDEX($A$78:$H$85,MATCH($L81,$B$78:$B$85,0),MATCH($M$77,$A$78:$H$78,0))*고양시_Modal_split!F$3 * 0.01</f>
        <v>1.5539773873065581</v>
      </c>
      <c r="Q81" s="206">
        <f>INDEX($A$78:$H$85,MATCH($L81,$B$78:$B$85,0),MATCH($M$77,$A$78:$H$78,0))*고양시_Modal_split!G$3 * 0.01</f>
        <v>0.15590612827939296</v>
      </c>
      <c r="R81" s="206">
        <f>INDEX($A$78:$H$85,MATCH($L81,$B$78:$B$85,0),MATCH($M$77,$A$78:$H$78,0))*고양시_Modal_split!H$3 * 0.01</f>
        <v>1.6946318291238367E-3</v>
      </c>
      <c r="S81" s="206">
        <f>INDEX($A$78:$H$85,MATCH($L81,$B$78:$B$85,0),MATCH($M$77,$A$78:$H$78,0))*고양시_Modal_split!I$3 * 0.01</f>
        <v>0.47110764849642656</v>
      </c>
      <c r="T81" s="206">
        <f>INDEX($A$78:$H$85,MATCH($L81,$B$78:$B$85,0),MATCH($M$77,$A$78:$H$78,0))*고양시_Modal_split!J$3 * 0.01</f>
        <v>5.1584592878529589</v>
      </c>
      <c r="U81" s="206">
        <f>INDEX($A$78:$H$85,MATCH($L81,$B$78:$B$85,0),MATCH($M$77,$A$78:$H$78,0))*고양시_Modal_split!K$3 * 0.01</f>
        <v>2.5419477436857546E-2</v>
      </c>
      <c r="V81" s="206">
        <f>INDEX($A$78:$H$85,MATCH($L81,$B$78:$B$85,0),MATCH($M$77,$A$78:$H$78,0))*고양시_Modal_split!L$3 * 0.01</f>
        <v>0.51177881239539869</v>
      </c>
      <c r="W81" s="206">
        <f>INDEX($A$78:$H$85,MATCH($L81,$B$78:$B$85,0),MATCH($M$77,$A$78:$H$78,0))*고양시_Modal_split!M$3 * 0.01</f>
        <v>3.897653206984824E-2</v>
      </c>
      <c r="X81" s="206">
        <f>INDEX($A$78:$H$85,MATCH($L81,$B$78:$B$85,0),MATCH($M$77,$A$78:$H$78,0))*고양시_Modal_split!N$3 * 0.01</f>
        <v>1.6946318291238369E-2</v>
      </c>
      <c r="Y81" s="206">
        <f>INDEX($A$78:$H$85,MATCH($L81,$B$78:$B$85,0),MATCH($M$77,$A$78:$H$78,0))*고양시_Modal_split!O$3 * 0.01</f>
        <v>3.0503372924229059E-2</v>
      </c>
      <c r="Z81" s="209">
        <f>INDEX($A$78:$H$85,MATCH($L81,$B$78:$B$85,0),MATCH($M$77,$A$78:$H$78,0))*고양시_Modal_split!P$3 * 0.01</f>
        <v>16.946318291238367</v>
      </c>
      <c r="AA81" s="207">
        <f>INDEX($A$78:$H$85,MATCH($L81,$B$78:$B$85,0),MATCH($AA$77,$A$78:$H$78,0))*고양시_Modal_split!C$3 * 0.01</f>
        <v>0.3434031226649345</v>
      </c>
      <c r="AB81" s="207">
        <f>INDEX($A$78:$H$85,MATCH($L81,$B$78:$B$85,0),MATCH($AA$77,$A$78:$H$78,0))*고양시_Modal_split!D$3 * 0.01</f>
        <v>57.679460210470971</v>
      </c>
      <c r="AC81" s="207">
        <f>INDEX($A$78:$H$85,MATCH($L81,$B$78:$B$85,0),MATCH($AA$77,$A$78:$H$78,0))*고양시_Modal_split!E$3 * 0.01</f>
        <v>6.9784420284409912</v>
      </c>
      <c r="AD81" s="207">
        <f>INDEX($A$78:$H$85,MATCH($L81,$B$78:$B$85,0),MATCH($AA$77,$A$78:$H$78,0))*고양시_Modal_split!F$3 * 0.01</f>
        <v>11.246452267276608</v>
      </c>
      <c r="AE81" s="207">
        <f>INDEX($A$78:$H$85,MATCH($L81,$B$78:$B$85,0),MATCH($AA$77,$A$78:$H$78,0))*고양시_Modal_split!G$3 * 0.01</f>
        <v>1.1283245458990707</v>
      </c>
      <c r="AF81" s="207">
        <f>INDEX($A$78:$H$85,MATCH($L81,$B$78:$B$85,0),MATCH($AA$77,$A$78:$H$78,0))*고양시_Modal_split!H$3 * 0.01</f>
        <v>1.2264397238033378E-2</v>
      </c>
      <c r="AG81" s="207">
        <f>INDEX($A$78:$H$85,MATCH($L81,$B$78:$B$85,0),MATCH($AA$77,$A$78:$H$78,0))*고양시_Modal_split!I$3 * 0.01</f>
        <v>3.4095024321732788</v>
      </c>
      <c r="AH81" s="207">
        <f>INDEX($A$78:$H$85,MATCH($L81,$B$78:$B$85,0),MATCH($AA$77,$A$78:$H$78,0))*고양시_Modal_split!J$3 * 0.01</f>
        <v>37.332825192573601</v>
      </c>
      <c r="AI81" s="207">
        <f>INDEX($A$78:$H$85,MATCH($L81,$B$78:$B$85,0),MATCH($AA$77,$A$78:$H$78,0))*고양시_Modal_split!K$3 * 0.01</f>
        <v>0.18396595857050063</v>
      </c>
      <c r="AJ81" s="207">
        <f>INDEX($A$78:$H$85,MATCH($L81,$B$78:$B$85,0),MATCH($AA$77,$A$78:$H$78,0))*고양시_Modal_split!L$3 * 0.01</f>
        <v>3.7038479658860797</v>
      </c>
      <c r="AK81" s="207">
        <f>INDEX($A$78:$H$85,MATCH($L81,$B$78:$B$85,0),MATCH($AA$77,$A$78:$H$78,0))*고양시_Modal_split!M$3 * 0.01</f>
        <v>0.28208113647476768</v>
      </c>
      <c r="AL81" s="207">
        <f>INDEX($A$78:$H$85,MATCH($L81,$B$78:$B$85,0),MATCH($AA$77,$A$78:$H$78,0))*고양시_Modal_split!N$3 * 0.01</f>
        <v>0.12264397238033377</v>
      </c>
      <c r="AM81" s="207">
        <f>INDEX($A$78:$H$85,MATCH($L81,$B$78:$B$85,0),MATCH($AA$77,$A$78:$H$78,0))*고양시_Modal_split!O$3 * 0.01</f>
        <v>0.22075915028460077</v>
      </c>
      <c r="AN81" s="207">
        <f>INDEX($A$78:$H$85,MATCH($L81,$B$78:$B$85,0),MATCH($AA$77,$A$78:$H$78,0))*고양시_Modal_split!P$3 * 0.01</f>
        <v>122.64397238033376</v>
      </c>
      <c r="AO81" s="303">
        <f>INDEX($A$78:$H$85,MATCH($L38,$B$78:$B$85,0),MATCH($AO$77,$A$78:$H$78,0))*고양시_Modal_split!C$3 * 0.01</f>
        <v>1.9700187153181208E-2</v>
      </c>
      <c r="AP81" s="303">
        <f>INDEX($A$78:$H$85,MATCH($L38,$B$78:$B$85,0),MATCH($AO$77,$A$78:$H$78,0))*고양시_Modal_split!D$3 * 0.01</f>
        <v>3.3089278636218298</v>
      </c>
      <c r="AQ81" s="303">
        <f>INDEX($A$78:$H$85,MATCH($L38,$B$78:$B$85,0),MATCH($AO$77,$A$78:$H$78,0))*고양시_Modal_split!E$3 * 0.01</f>
        <v>0.40033594607714668</v>
      </c>
      <c r="AR81" s="303">
        <f>INDEX($A$78:$H$85,MATCH($L38,$B$78:$B$85,0),MATCH($AO$77,$A$78:$H$78,0))*고양시_Modal_split!F$3 * 0.01</f>
        <v>0.64518112926668469</v>
      </c>
      <c r="AS81" s="303">
        <f>INDEX($A$78:$H$85,MATCH($L38,$B$78:$B$85,0),MATCH($AO$77,$A$78:$H$78,0))*고양시_Modal_split!G$3 * 0.01</f>
        <v>6.4729186360452537E-2</v>
      </c>
      <c r="AT81" s="303">
        <f>INDEX($A$78:$H$85,MATCH($L38,$B$78:$B$85,0),MATCH($AO$77,$A$78:$H$78,0))*고양시_Modal_split!H$3 * 0.01</f>
        <v>7.0357811261361467E-4</v>
      </c>
      <c r="AU81" s="303">
        <f>INDEX($A$78:$H$85,MATCH($L38,$B$78:$B$85,0),MATCH($AO$77,$A$78:$H$78,0))*고양시_Modal_split!I$3 * 0.01</f>
        <v>0.19559471530658484</v>
      </c>
      <c r="AV81" s="303">
        <f>INDEX($A$78:$H$85,MATCH($L38,$B$78:$B$85,0),MATCH($AO$77,$A$78:$H$78,0))*고양시_Modal_split!J$3 * 0.01</f>
        <v>2.1416917747958433</v>
      </c>
      <c r="AW81" s="303">
        <f>INDEX($A$78:$H$85,MATCH($L38,$B$78:$B$85,0),MATCH($AO$77,$A$78:$H$78,0))*고양시_Modal_split!K$3 * 0.01</f>
        <v>1.0553671689204219E-2</v>
      </c>
      <c r="AX81" s="303">
        <f>INDEX($A$78:$H$85,MATCH($L38,$B$78:$B$85,0),MATCH($AO$77,$A$78:$H$78,0))*고양시_Modal_split!L$3 * 0.01</f>
        <v>0.2124805900093116</v>
      </c>
      <c r="AY81" s="303">
        <f>INDEX($A$78:$H$85,MATCH($L38,$B$78:$B$85,0),MATCH($AO$77,$A$78:$H$78,0))*고양시_Modal_split!M$3 * 0.01</f>
        <v>1.6182296590113134E-2</v>
      </c>
      <c r="AZ81" s="303">
        <f>INDEX($A$78:$H$85,MATCH($L38,$B$78:$B$85,0),MATCH($AO$77,$A$78:$H$78,0))*고양시_Modal_split!N$3 * 0.01</f>
        <v>7.0357811261361472E-3</v>
      </c>
      <c r="BA81" s="207">
        <f>INDEX($A$78:$H$85,MATCH($L38,$B$78:$B$85,0),MATCH($AO$77,$A$78:$H$78,0))*고양시_Modal_split!O$3 * 0.01</f>
        <v>1.2664406027045064E-2</v>
      </c>
      <c r="BB81" s="207">
        <f>INDEX($A$78:$H$85,MATCH($L38,$B$78:$B$85,0),MATCH($AO$77,$A$78:$H$78,0))*고양시_Modal_split!P$3 * 0.01</f>
        <v>7.035781126136146</v>
      </c>
      <c r="BC81" s="207">
        <f>INDEX($A$78:$H$85,MATCH($L81,$B$78:$B$85,0),MATCH($BC$77,$A$78:$H$78,0))*고양시_Modal_split!C$3 * 0.01</f>
        <v>3.0958911188865229E-5</v>
      </c>
      <c r="BD81" s="207">
        <f>INDEX($A$78:$H$85,MATCH($L81,$B$78:$B$85,0),MATCH($BC$77,$A$78:$H$78,0))*고양시_Modal_split!D$3 * 0.01</f>
        <v>5.1999914043297573E-3</v>
      </c>
      <c r="BE81" s="207">
        <f>INDEX($A$78:$H$85,MATCH($L81,$B$78:$B$85,0),MATCH($BC$77,$A$78:$H$78,0))*고양시_Modal_split!E$3 * 0.01</f>
        <v>6.2912930237372564E-4</v>
      </c>
      <c r="BF81" s="207">
        <f>INDEX($A$78:$H$85,MATCH($L81,$B$78:$B$85,0),MATCH($BC$77,$A$78:$H$78,0))*고양시_Modal_split!F$3 * 0.01</f>
        <v>1.0139043414353365E-3</v>
      </c>
      <c r="BG81" s="207">
        <f>INDEX($A$78:$H$85,MATCH($L81,$B$78:$B$85,0),MATCH($BC$77,$A$78:$H$78,0))*고양시_Modal_split!G$3 * 0.01</f>
        <v>1.0172213676341434E-4</v>
      </c>
      <c r="BH81" s="207">
        <f>INDEX($A$78:$H$85,MATCH($L81,$B$78:$B$85,0),MATCH($BC$77,$A$78:$H$78,0))*고양시_Modal_split!H$3 * 0.01</f>
        <v>1.1056753996023299E-6</v>
      </c>
      <c r="BI81" s="207">
        <f>INDEX($A$78:$H$85,MATCH($L81,$B$78:$B$85,0),MATCH($BC$77,$A$78:$H$78,0))*고양시_Modal_split!I$3 * 0.01</f>
        <v>3.0737776108944766E-4</v>
      </c>
      <c r="BJ81" s="207">
        <f>INDEX($A$78:$H$85,MATCH($L81,$B$78:$B$85,0),MATCH($BC$77,$A$78:$H$78,0))*고양시_Modal_split!J$3 * 0.01</f>
        <v>3.3656759163894919E-3</v>
      </c>
      <c r="BK81" s="207">
        <f>INDEX($A$78:$H$85,MATCH($L81,$B$78:$B$85,0),MATCH($BC$77,$A$78:$H$78,0))*고양시_Modal_split!K$3 * 0.01</f>
        <v>1.6585130994034946E-5</v>
      </c>
      <c r="BL81" s="207">
        <f>INDEX($A$78:$H$85,MATCH($L81,$B$78:$B$85,0),MATCH($BC$77,$A$78:$H$78,0))*고양시_Modal_split!L$3 * 0.01</f>
        <v>3.3391397067990362E-4</v>
      </c>
      <c r="BM81" s="207">
        <f>INDEX($A$78:$H$85,MATCH($L81,$B$78:$B$85,0),MATCH($BC$77,$A$78:$H$78,0))*고양시_Modal_split!M$3 * 0.01</f>
        <v>2.5430534190853585E-5</v>
      </c>
      <c r="BN81" s="207">
        <f>INDEX($A$78:$H$85,MATCH($L81,$B$78:$B$85,0),MATCH($BC$77,$A$78:$H$78,0))*고양시_Modal_split!N$3 * 0.01</f>
        <v>1.1056753996023297E-5</v>
      </c>
      <c r="BO81" s="207">
        <f>INDEX($A$78:$H$85,MATCH($L81,$B$78:$B$85,0),MATCH($BC$77,$A$78:$H$78,0))*고양시_Modal_split!O$3 * 0.01</f>
        <v>1.9902157192841934E-5</v>
      </c>
      <c r="BP81" s="207">
        <f>INDEX($A$78:$H$85,MATCH($L81,$B$78:$B$85,0),MATCH($BC$77,$A$78:$H$78,0))*고양시_Modal_split!P$3 * 0.01</f>
        <v>1.1056753996023299E-2</v>
      </c>
      <c r="BQ81" s="207">
        <f>INDEX($A$78:$H$85,MATCH($L38,$B$78:$B$85,0),MATCH($BQ$77,$A$78:$H$78,0))*고양시_Modal_split!C$3 * 0.01</f>
        <v>1.1695588671349081E-4</v>
      </c>
      <c r="BR81" s="207">
        <f>INDEX($A$78:$H$85,MATCH($L38,$B$78:$B$85,0),MATCH($BQ$77,$A$78:$H$78,0))*고양시_Modal_split!D$3 * 0.01</f>
        <v>1.9644411971912405E-2</v>
      </c>
      <c r="BS81" s="207">
        <f>INDEX($A$78:$H$85,MATCH($L38,$B$78:$B$85,0),MATCH($BQ$77,$A$78:$H$78,0))*고양시_Modal_split!E$3 * 0.01</f>
        <v>2.3767106978562951E-3</v>
      </c>
      <c r="BT81" s="207">
        <f>INDEX($A$78:$H$85,MATCH($L38,$B$78:$B$85,0),MATCH($BQ$77,$A$78:$H$78,0))*고양시_Modal_split!F$3 * 0.01</f>
        <v>3.8303052898668245E-3</v>
      </c>
      <c r="BU81" s="207">
        <f>INDEX($A$78:$H$85,MATCH($L38,$B$78:$B$85,0),MATCH($BQ$77,$A$78:$H$78,0))*고양시_Modal_split!G$3 * 0.01</f>
        <v>3.8428362777289836E-4</v>
      </c>
      <c r="BV81" s="207">
        <f>INDEX($A$78:$H$85,MATCH($L38,$B$78:$B$85,0),MATCH($BQ$77,$A$78:$H$78,0))*고양시_Modal_split!H$3 * 0.01</f>
        <v>4.1769959540532431E-6</v>
      </c>
      <c r="BW81" s="207">
        <f>INDEX($A$78:$H$85,MATCH($L38,$B$78:$B$85,0),MATCH($BQ$77,$A$78:$H$78,0))*고양시_Modal_split!I$3 * 0.01</f>
        <v>1.1612048752268015E-3</v>
      </c>
      <c r="BX81" s="207">
        <f>INDEX($A$78:$H$85,MATCH($L38,$B$78:$B$85,0),MATCH($BQ$77,$A$78:$H$78,0))*고양시_Modal_split!J$3 * 0.01</f>
        <v>1.2714775684138074E-2</v>
      </c>
      <c r="BY81" s="207">
        <f>INDEX($A$78:$H$85,MATCH($L38,$B$78:$B$85,0),MATCH($BQ$77,$A$78:$H$78,0))*고양시_Modal_split!K$3 * 0.01</f>
        <v>6.2654939310798644E-5</v>
      </c>
      <c r="BZ81" s="207">
        <f>INDEX($A$78:$H$85,MATCH($L38,$B$78:$B$85,0),MATCH($BQ$77,$A$78:$H$78,0))*고양시_Modal_split!L$3 * 0.01</f>
        <v>1.2614527781240794E-3</v>
      </c>
      <c r="CA81" s="207">
        <f>INDEX($A$78:$H$85,MATCH($L38,$B$78:$B$85,0),MATCH($BQ$77,$A$78:$H$78,0))*고양시_Modal_split!M$3 * 0.01</f>
        <v>9.6070906943224589E-5</v>
      </c>
      <c r="CB81" s="207">
        <f>INDEX($A$78:$H$85,MATCH($L38,$B$78:$B$85,0),MATCH($BQ$77,$A$78:$H$78,0))*고양시_Modal_split!N$3 * 0.01</f>
        <v>4.1769959540532438E-5</v>
      </c>
      <c r="CC81" s="207">
        <f>INDEX($A$78:$H$85,MATCH($L38,$B$78:$B$85,0),MATCH($BQ$77,$A$78:$H$78,0))*고양시_Modal_split!O$3 * 0.01</f>
        <v>7.518592717295837E-5</v>
      </c>
      <c r="CD81" s="207">
        <f>INDEX($A$78:$H$85,MATCH($L38,$B$78:$B$85,0),MATCH($BQ$77,$A$78:$H$78,0))*고양시_Modal_split!P$3 * 0.01</f>
        <v>4.1769959540532434E-2</v>
      </c>
      <c r="CE81" s="304">
        <f t="shared" si="21"/>
        <v>0.41070091583148555</v>
      </c>
      <c r="CF81" s="304">
        <f t="shared" si="17"/>
        <v>68.983085969838442</v>
      </c>
      <c r="CG81" s="304">
        <f t="shared" si="17"/>
        <v>8.3460293252898303</v>
      </c>
      <c r="CH81" s="304">
        <f t="shared" si="17"/>
        <v>13.450454993481154</v>
      </c>
      <c r="CI81" s="304">
        <f t="shared" si="17"/>
        <v>1.3494458663034525</v>
      </c>
      <c r="CJ81" s="304">
        <f t="shared" si="17"/>
        <v>1.4667889851124485E-2</v>
      </c>
      <c r="CK81" s="304">
        <f t="shared" si="17"/>
        <v>4.077673378612606</v>
      </c>
      <c r="CL81" s="304">
        <f t="shared" si="17"/>
        <v>44.649056706822932</v>
      </c>
      <c r="CM81" s="304">
        <f t="shared" si="17"/>
        <v>0.22001834776686721</v>
      </c>
      <c r="CN81" s="304">
        <f t="shared" si="17"/>
        <v>4.4297027350395943</v>
      </c>
      <c r="CO81" s="304">
        <f t="shared" si="17"/>
        <v>0.33736146657586313</v>
      </c>
      <c r="CP81" s="304">
        <f t="shared" si="17"/>
        <v>0.14667889851124483</v>
      </c>
      <c r="CQ81" s="304">
        <f t="shared" si="17"/>
        <v>0.26402201732024072</v>
      </c>
      <c r="CR81" s="304">
        <f t="shared" si="17"/>
        <v>146.67889851124485</v>
      </c>
      <c r="CS81" s="305">
        <f t="shared" si="22"/>
        <v>0</v>
      </c>
      <c r="CV81" s="265"/>
      <c r="CW81" s="265" t="s">
        <v>714</v>
      </c>
      <c r="CX81" s="267">
        <f>INDEX($M$77:$Z$85,MATCH($CW81,$L$77:$L$85,0),MATCH(CX$78,$M$78:$Z$78,0))/INDEX(고양시_재차인원!$D$4:$H$35,MATCH("고양시",고양시_재차인원!$B$4:$B$35,0),MATCH($CX$77,고양시_재차인원!$D$4:$H$4,0))</f>
        <v>7.1159406181869667</v>
      </c>
      <c r="CY81" s="267">
        <f>INDEX($M$77:$Z$85,MATCH($CW81,$L$77:$L$85,0),MATCH(CY$78,$M$78:$Z$78,0))/INDEX(고양시_재차인원!$K$4:$O$20,MATCH("경기도",고양시_재차인원!$K$4:$K$20,0),MATCH(CY$78,고양시_재차인원!$K$4:$O$4,0))</f>
        <v>5.8861821088011003E-5</v>
      </c>
      <c r="CZ81" s="267">
        <f>INDEX($M$77:$Z$85,MATCH($CW81,$L$77:$L$85,0),MATCH(CZ$78,$M$78:$Z$78,0))/INDEX(고양시_재차인원!$K$4:$O$20,MATCH("경기도",고양시_재차인원!$K$4:$K$20,0),MATCH(CZ$78,고양시_재차인원!$K$4:$O$4,0))</f>
        <v>1.6363586262467058E-2</v>
      </c>
      <c r="DA81" s="267">
        <f>INDEX($M$77:$Z$85,MATCH($CW81,$L$77:$L$85,0),MATCH(DA$78,$M$78:$Z$78,0))/INDEX(고양시_재차인원!$D$4:$H$35,MATCH("고양시",고양시_재차인원!$B$4:$B$35,0),MATCH($CX$77,고양시_재차인원!$D$4:$H$4,0))</f>
        <v>0.45694536821017734</v>
      </c>
      <c r="DB81" s="267">
        <f>INDEX($AA$77:$AN$85,MATCH($CW81,$L$77:$L$85,0),MATCH(DB$78,$AA$78:$AN$78,0))/INDEX(고양시_재차인원!$D$4:$H$35,MATCH("고양시",고양시_재차인원!$B$4:$B$35,0),MATCH($DB$77,고양시_재차인원!$D$4:$H$4,0))</f>
        <v>40.907418588986509</v>
      </c>
      <c r="DC81" s="267">
        <f>INDEX($AA$77:$AN$85,MATCH($CW81,$L$77:$L$85,0),MATCH(DC$78,$AA$78:$AN$78,0))/INDEX(고양시_재차인원!$K$4:$O$20,MATCH("경기도",고양시_재차인원!$K$4:$K$20,0),MATCH(DC$78,고양시_재차인원!$K$4:$O$4,0))</f>
        <v>4.2599504126548726E-4</v>
      </c>
      <c r="DD81" s="267">
        <f>INDEX($AA$77:$AN$85,MATCH($CW81,$L$77:$L$85,0),MATCH(DD$78,$AA$78:$AN$78,0))/INDEX(고양시_재차인원!$K$4:$O$20,MATCH("경기도",고양시_재차인원!$K$4:$K$20,0),MATCH(DD$78,고양시_재차인원!$K$4:$O$4,0))</f>
        <v>0.11842662147180545</v>
      </c>
      <c r="DE81" s="267">
        <f>INDEX($AA$77:$AN$85,MATCH($CW81,$L$77:$L$85,0),MATCH(DE$78,$AA$78:$AN$78,0))/INDEX(고양시_재차인원!$D$4:$H$35,MATCH("고양시",고양시_재차인원!$B$4:$B$35,0),MATCH($DB$77,고양시_재차인원!$D$4:$H$4,0))</f>
        <v>2.6268425289972197</v>
      </c>
      <c r="DF81" s="267">
        <f>INDEX($AO$77:$BB$85,MATCH($CW81,$L$77:$L$85,0),MATCH(DF$78,$AO$78:$BB$78,0))/INDEX(고양시_재차인원!$D$4:$H$35,MATCH("고양시",고양시_재차인원!$B$4:$B$35,0),MATCH($DF$77,고양시_재차인원!$D$4:$H$4,0))</f>
        <v>2.545329125862946</v>
      </c>
      <c r="DG81" s="267">
        <f>INDEX($AO$77:$BB$85,MATCH($CW81,$L$77:$L$85,0),MATCH(DG$78,$AO$78:$BB$78,0))/INDEX(고양시_재차인원!$K$4:$O$20,MATCH("경기도",고양시_재차인원!$K$4:$K$20,0),MATCH(DG$78,고양시_재차인원!$K$4:$O$4,0))</f>
        <v>2.4438281091129375E-5</v>
      </c>
      <c r="DH81" s="267">
        <f>INDEX($AO$77:$BB$85,MATCH($CW81,$L$77:$L$85,0),MATCH(DH$78,$AO$78:$BB$78,0))/INDEX(고양시_재차인원!$K$4:$O$20,MATCH("경기도",고양시_재차인원!$K$4:$K$20,0),MATCH(DH$78,고양시_재차인원!$K$4:$O$4,0))</f>
        <v>6.7938421433339649E-3</v>
      </c>
      <c r="DI81" s="267">
        <f>INDEX($AO$77:$BB$85,MATCH($CW81,$L$77:$L$85,0),MATCH(DI$78,$AO$78:$BB$78,0))/INDEX(고양시_재차인원!$D$4:$H$35,MATCH("고양시",고양시_재차인원!$B$4:$B$35,0),MATCH($DF$77,고양시_재차인원!$D$4:$H$4,0))</f>
        <v>0.16344660769947045</v>
      </c>
      <c r="DJ81" s="267">
        <f>INDEX($BC$77:$BP$85,MATCH($CW81,$L$77:$L$85,0),MATCH(DJ$78,$BC$78:$BP$78,0))/INDEX(고양시_재차인원!$D$4:$H$35,MATCH("고양시",고양시_재차인원!$B$4:$B$35,0),MATCH($DJ$77,고양시_재차인원!$D$4:$H$4,0))</f>
        <v>3.8235230914189389E-3</v>
      </c>
      <c r="DK81" s="267">
        <f>INDEX($BC$77:$BP$85,MATCH($CW81,$L$77:$L$85,0),MATCH(DK$78,$BC$78:$BP$78,0))/INDEX(고양시_재차인원!$K$4:$O$20,MATCH("경기도",고양시_재차인원!$K$4:$K$20,0),MATCH(DK$78,고양시_재차인원!$K$4:$O$4,0))</f>
        <v>3.8404841945200761E-8</v>
      </c>
      <c r="DL81" s="267">
        <f>INDEX($BC$77:$BP$85,MATCH($CW81,$L$77:$L$85,0),MATCH(DL$78,$BC$78:$BP$78,0))/INDEX(고양시_재차인원!$K$4:$O$20,MATCH("경기도",고양시_재차인원!$K$4:$K$20,0),MATCH(DL$78,고양시_재차인원!$K$4:$O$4,0))</f>
        <v>1.0676546060765809E-5</v>
      </c>
      <c r="DM81" s="267">
        <f>INDEX($BC$77:$BP$85,MATCH($CW81,$L$77:$L$85,0),MATCH(DM$78,$BC$78:$BP$78,0))/INDEX(고양시_재차인원!$D$4:$H$35,MATCH("고양시",고양시_재차인원!$B$4:$B$35,0),MATCH($DJ$77,고양시_재차인원!$D$4:$H$4,0))</f>
        <v>2.4552497844110559E-4</v>
      </c>
      <c r="DN81" s="267">
        <f>INDEX($BQ$77:$CD$85,MATCH($CW81,$L$77:$L$85,0),MATCH(DN$78,$BQ$78:$CD$78,0))/INDEX(고양시_재차인원!$D$4:$H$35,MATCH("고양시",고양시_재차인원!$B$4:$B$35,0),MATCH($DN$77,고양시_재차인원!$D$4:$H$4,0))</f>
        <v>1.5590803152311433E-2</v>
      </c>
      <c r="DO81" s="267">
        <f>INDEX($BQ$77:$CD$85,MATCH($CW81,$L$77:$L$85,0),MATCH(DO$78,$BQ$78:$CD$78,0))/INDEX(고양시_재차인원!$K$4:$O$20,MATCH("경기도",고양시_재차인원!$K$4:$K$20,0),MATCH(DO$78,고양시_재차인원!$K$4:$O$4,0))</f>
        <v>1.450849584596472E-7</v>
      </c>
      <c r="DP81" s="267">
        <f>INDEX($BQ$77:$CD$85,MATCH($CW81,$L$77:$L$85,0),MATCH(DP$78,$BQ$78:$CD$78,0))/INDEX(고양시_재차인원!$K$4:$O$20,MATCH("경기도",고양시_재차인원!$K$4:$K$20,0),MATCH(DP$78,고양시_재차인원!$K$4:$O$4,0))</f>
        <v>4.0333618451781921E-5</v>
      </c>
      <c r="DQ81" s="267">
        <f>INDEX($BQ$77:$CD$85,MATCH($CW81,$L$77:$L$85,0),MATCH(DQ$78,$BQ$78:$CD$78,0))/INDEX(고양시_재차인원!$D$4:$H$35,MATCH("고양시",고양시_재차인원!$B$4:$B$35,0),MATCH($DN$77,고양시_재차인원!$D$4:$H$4,0))</f>
        <v>1.0011529985111741E-3</v>
      </c>
      <c r="DR81" s="270">
        <f t="shared" si="23"/>
        <v>50.58810265928016</v>
      </c>
      <c r="DS81" s="270">
        <f t="shared" si="18"/>
        <v>5.0947863324503242E-4</v>
      </c>
      <c r="DT81" s="270">
        <f t="shared" si="18"/>
        <v>0.14163506004211904</v>
      </c>
      <c r="DU81" s="270">
        <f t="shared" si="18"/>
        <v>3.2484811828838196</v>
      </c>
      <c r="DW81" s="278"/>
      <c r="DX81" s="278" t="s">
        <v>714</v>
      </c>
      <c r="DY81" s="281">
        <f t="shared" si="24"/>
        <v>53.836583842163982</v>
      </c>
      <c r="DZ81" s="281">
        <f t="shared" si="25"/>
        <v>0.14214453867536406</v>
      </c>
      <c r="EB81" s="278"/>
      <c r="EC81" s="278" t="s">
        <v>669</v>
      </c>
      <c r="ED81" s="281">
        <f t="shared" si="26"/>
        <v>53.836583842163982</v>
      </c>
      <c r="EE81" s="281">
        <f t="shared" si="19"/>
        <v>0.14214453867536406</v>
      </c>
      <c r="FE81" t="s">
        <v>12</v>
      </c>
      <c r="FF81" t="s">
        <v>610</v>
      </c>
      <c r="FG81">
        <v>5231.5074000000004</v>
      </c>
      <c r="FH81" s="277" t="e">
        <f t="shared" si="27"/>
        <v>#DIV/0!</v>
      </c>
    </row>
    <row r="82" spans="1:164" ht="37.5">
      <c r="A82" s="205"/>
      <c r="B82" s="205" t="s">
        <v>718</v>
      </c>
      <c r="C82" s="400">
        <f>$D11*KTDB_TripDistribution_2045!T$12 * (1+KTDB_발생량도착량_증가율!$C$7) * (1+KTDB_발생량도착량_증가율!$D$8*5) * (1+KTDB_발생량도착량_증가율!$E$8*5) * (1+KTDB_발생량도착량_증가율!$F$8*5) * (1+KTDB_발생량도착량_증가율!$G$8*5)</f>
        <v>0</v>
      </c>
      <c r="D82" s="400">
        <f>$D11*KTDB_TripDistribution_2045!U$12 * (1+KTDB_발생량도착량_증가율!$C$7) * (1+KTDB_발생량도착량_증가율!$D$8*5) * (1+KTDB_발생량도착량_증가율!$E$8*5) * (1+KTDB_발생량도착량_증가율!$F$8*5) * (1+KTDB_발생량도착량_증가율!$G$8*5)</f>
        <v>0</v>
      </c>
      <c r="E82" s="400">
        <f>$D11*KTDB_TripDistribution_2045!V$12 * (1+KTDB_발생량도착량_증가율!$C$7) * (1+KTDB_발생량도착량_증가율!$D$8*5) * (1+KTDB_발생량도착량_증가율!$E$8*5) * (1+KTDB_발생량도착량_증가율!$F$8*5) * (1+KTDB_발생량도착량_증가율!$G$8*5)</f>
        <v>0</v>
      </c>
      <c r="F82" s="400">
        <f>$D11*KTDB_TripDistribution_2045!W$12 * (1+KTDB_발생량도착량_증가율!$C$7) * (1+KTDB_발생량도착량_증가율!$D$8*5) * (1+KTDB_발생량도착량_증가율!$E$8*5) * (1+KTDB_발생량도착량_증가율!$F$8*5) * (1+KTDB_발생량도착량_증가율!$G$8*5)</f>
        <v>0</v>
      </c>
      <c r="G82" s="400">
        <f>$D11*KTDB_TripDistribution_2045!X$12 * (1+KTDB_발생량도착량_증가율!$C$7) * (1+KTDB_발생량도착량_증가율!$D$8*5) * (1+KTDB_발생량도착량_증가율!$E$8*5) * (1+KTDB_발생량도착량_증가율!$F$8*5) * (1+KTDB_발생량도착량_증가율!$G$8*5)</f>
        <v>0</v>
      </c>
      <c r="H82" s="400">
        <f>$D11*KTDB_TripDistribution_2045!Y$12 * (1+KTDB_발생량도착량_증가율!$C$7) * (1+KTDB_발생량도착량_증가율!$D$8*5) * (1+KTDB_발생량도착량_증가율!$E$8*5) * (1+KTDB_발생량도착량_증가율!$F$8*5) * (1+KTDB_발생량도착량_증가율!$G$8*5)</f>
        <v>0</v>
      </c>
      <c r="J82" s="230">
        <f t="shared" si="16"/>
        <v>0</v>
      </c>
      <c r="K82" s="206"/>
      <c r="L82" s="206" t="s">
        <v>718</v>
      </c>
      <c r="M82" s="206">
        <f>INDEX($A$78:$H$85,MATCH($L82,$B$78:$B$85,0),MATCH($M$77,$A$78:$H$78,0))*고양시_Modal_split!C$3 * 0.01</f>
        <v>0</v>
      </c>
      <c r="N82" s="206">
        <f>INDEX($A$78:$H$85,MATCH($L82,$B$78:$B$85,0),MATCH($M$77,$A$78:$H$78,0))*고양시_Modal_split!D$3 * 0.01</f>
        <v>0</v>
      </c>
      <c r="O82" s="206">
        <f>INDEX($A$78:$H$85,MATCH($L82,$B$78:$B$85,0),MATCH($M$77,$A$78:$H$78,0))*고양시_Modal_split!E$3 * 0.01</f>
        <v>0</v>
      </c>
      <c r="P82" s="206">
        <f>INDEX($A$78:$H$85,MATCH($L82,$B$78:$B$85,0),MATCH($M$77,$A$78:$H$78,0))*고양시_Modal_split!F$3 * 0.01</f>
        <v>0</v>
      </c>
      <c r="Q82" s="206">
        <f>INDEX($A$78:$H$85,MATCH($L82,$B$78:$B$85,0),MATCH($M$77,$A$78:$H$78,0))*고양시_Modal_split!G$3 * 0.01</f>
        <v>0</v>
      </c>
      <c r="R82" s="206">
        <f>INDEX($A$78:$H$85,MATCH($L82,$B$78:$B$85,0),MATCH($M$77,$A$78:$H$78,0))*고양시_Modal_split!H$3 * 0.01</f>
        <v>0</v>
      </c>
      <c r="S82" s="206">
        <f>INDEX($A$78:$H$85,MATCH($L82,$B$78:$B$85,0),MATCH($M$77,$A$78:$H$78,0))*고양시_Modal_split!I$3 * 0.01</f>
        <v>0</v>
      </c>
      <c r="T82" s="206">
        <f>INDEX($A$78:$H$85,MATCH($L82,$B$78:$B$85,0),MATCH($M$77,$A$78:$H$78,0))*고양시_Modal_split!J$3 * 0.01</f>
        <v>0</v>
      </c>
      <c r="U82" s="206">
        <f>INDEX($A$78:$H$85,MATCH($L82,$B$78:$B$85,0),MATCH($M$77,$A$78:$H$78,0))*고양시_Modal_split!K$3 * 0.01</f>
        <v>0</v>
      </c>
      <c r="V82" s="206">
        <f>INDEX($A$78:$H$85,MATCH($L82,$B$78:$B$85,0),MATCH($M$77,$A$78:$H$78,0))*고양시_Modal_split!L$3 * 0.01</f>
        <v>0</v>
      </c>
      <c r="W82" s="206">
        <f>INDEX($A$78:$H$85,MATCH($L82,$B$78:$B$85,0),MATCH($M$77,$A$78:$H$78,0))*고양시_Modal_split!M$3 * 0.01</f>
        <v>0</v>
      </c>
      <c r="X82" s="206">
        <f>INDEX($A$78:$H$85,MATCH($L82,$B$78:$B$85,0),MATCH($M$77,$A$78:$H$78,0))*고양시_Modal_split!N$3 * 0.01</f>
        <v>0</v>
      </c>
      <c r="Y82" s="206">
        <f>INDEX($A$78:$H$85,MATCH($L82,$B$78:$B$85,0),MATCH($M$77,$A$78:$H$78,0))*고양시_Modal_split!O$3 * 0.01</f>
        <v>0</v>
      </c>
      <c r="Z82" s="209">
        <f>INDEX($A$78:$H$85,MATCH($L82,$B$78:$B$85,0),MATCH($M$77,$A$78:$H$78,0))*고양시_Modal_split!P$3 * 0.01</f>
        <v>0</v>
      </c>
      <c r="AA82" s="207">
        <f>INDEX($A$78:$H$85,MATCH($L82,$B$78:$B$85,0),MATCH($AA$77,$A$78:$H$78,0))*고양시_Modal_split!C$3 * 0.01</f>
        <v>0</v>
      </c>
      <c r="AB82" s="207">
        <f>INDEX($A$78:$H$85,MATCH($L82,$B$78:$B$85,0),MATCH($AA$77,$A$78:$H$78,0))*고양시_Modal_split!D$3 * 0.01</f>
        <v>0</v>
      </c>
      <c r="AC82" s="207">
        <f>INDEX($A$78:$H$85,MATCH($L82,$B$78:$B$85,0),MATCH($AA$77,$A$78:$H$78,0))*고양시_Modal_split!E$3 * 0.01</f>
        <v>0</v>
      </c>
      <c r="AD82" s="207">
        <f>INDEX($A$78:$H$85,MATCH($L82,$B$78:$B$85,0),MATCH($AA$77,$A$78:$H$78,0))*고양시_Modal_split!F$3 * 0.01</f>
        <v>0</v>
      </c>
      <c r="AE82" s="207">
        <f>INDEX($A$78:$H$85,MATCH($L82,$B$78:$B$85,0),MATCH($AA$77,$A$78:$H$78,0))*고양시_Modal_split!G$3 * 0.01</f>
        <v>0</v>
      </c>
      <c r="AF82" s="207">
        <f>INDEX($A$78:$H$85,MATCH($L82,$B$78:$B$85,0),MATCH($AA$77,$A$78:$H$78,0))*고양시_Modal_split!H$3 * 0.01</f>
        <v>0</v>
      </c>
      <c r="AG82" s="207">
        <f>INDEX($A$78:$H$85,MATCH($L82,$B$78:$B$85,0),MATCH($AA$77,$A$78:$H$78,0))*고양시_Modal_split!I$3 * 0.01</f>
        <v>0</v>
      </c>
      <c r="AH82" s="207">
        <f>INDEX($A$78:$H$85,MATCH($L82,$B$78:$B$85,0),MATCH($AA$77,$A$78:$H$78,0))*고양시_Modal_split!J$3 * 0.01</f>
        <v>0</v>
      </c>
      <c r="AI82" s="207">
        <f>INDEX($A$78:$H$85,MATCH($L82,$B$78:$B$85,0),MATCH($AA$77,$A$78:$H$78,0))*고양시_Modal_split!K$3 * 0.01</f>
        <v>0</v>
      </c>
      <c r="AJ82" s="207">
        <f>INDEX($A$78:$H$85,MATCH($L82,$B$78:$B$85,0),MATCH($AA$77,$A$78:$H$78,0))*고양시_Modal_split!L$3 * 0.01</f>
        <v>0</v>
      </c>
      <c r="AK82" s="207">
        <f>INDEX($A$78:$H$85,MATCH($L82,$B$78:$B$85,0),MATCH($AA$77,$A$78:$H$78,0))*고양시_Modal_split!M$3 * 0.01</f>
        <v>0</v>
      </c>
      <c r="AL82" s="207">
        <f>INDEX($A$78:$H$85,MATCH($L82,$B$78:$B$85,0),MATCH($AA$77,$A$78:$H$78,0))*고양시_Modal_split!N$3 * 0.01</f>
        <v>0</v>
      </c>
      <c r="AM82" s="207">
        <f>INDEX($A$78:$H$85,MATCH($L82,$B$78:$B$85,0),MATCH($AA$77,$A$78:$H$78,0))*고양시_Modal_split!O$3 * 0.01</f>
        <v>0</v>
      </c>
      <c r="AN82" s="207">
        <f>INDEX($A$78:$H$85,MATCH($L82,$B$78:$B$85,0),MATCH($AA$77,$A$78:$H$78,0))*고양시_Modal_split!P$3 * 0.01</f>
        <v>0</v>
      </c>
      <c r="AO82" s="303">
        <f>INDEX($A$78:$H$85,MATCH($L39,$B$78:$B$85,0),MATCH($AO$77,$A$78:$H$78,0))*고양시_Modal_split!C$3 * 0.01</f>
        <v>0</v>
      </c>
      <c r="AP82" s="303">
        <f>INDEX($A$78:$H$85,MATCH($L39,$B$78:$B$85,0),MATCH($AO$77,$A$78:$H$78,0))*고양시_Modal_split!D$3 * 0.01</f>
        <v>0</v>
      </c>
      <c r="AQ82" s="303">
        <f>INDEX($A$78:$H$85,MATCH($L39,$B$78:$B$85,0),MATCH($AO$77,$A$78:$H$78,0))*고양시_Modal_split!E$3 * 0.01</f>
        <v>0</v>
      </c>
      <c r="AR82" s="303">
        <f>INDEX($A$78:$H$85,MATCH($L39,$B$78:$B$85,0),MATCH($AO$77,$A$78:$H$78,0))*고양시_Modal_split!F$3 * 0.01</f>
        <v>0</v>
      </c>
      <c r="AS82" s="303">
        <f>INDEX($A$78:$H$85,MATCH($L39,$B$78:$B$85,0),MATCH($AO$77,$A$78:$H$78,0))*고양시_Modal_split!G$3 * 0.01</f>
        <v>0</v>
      </c>
      <c r="AT82" s="303">
        <f>INDEX($A$78:$H$85,MATCH($L39,$B$78:$B$85,0),MATCH($AO$77,$A$78:$H$78,0))*고양시_Modal_split!H$3 * 0.01</f>
        <v>0</v>
      </c>
      <c r="AU82" s="303">
        <f>INDEX($A$78:$H$85,MATCH($L39,$B$78:$B$85,0),MATCH($AO$77,$A$78:$H$78,0))*고양시_Modal_split!I$3 * 0.01</f>
        <v>0</v>
      </c>
      <c r="AV82" s="303">
        <f>INDEX($A$78:$H$85,MATCH($L39,$B$78:$B$85,0),MATCH($AO$77,$A$78:$H$78,0))*고양시_Modal_split!J$3 * 0.01</f>
        <v>0</v>
      </c>
      <c r="AW82" s="303">
        <f>INDEX($A$78:$H$85,MATCH($L39,$B$78:$B$85,0),MATCH($AO$77,$A$78:$H$78,0))*고양시_Modal_split!K$3 * 0.01</f>
        <v>0</v>
      </c>
      <c r="AX82" s="303">
        <f>INDEX($A$78:$H$85,MATCH($L39,$B$78:$B$85,0),MATCH($AO$77,$A$78:$H$78,0))*고양시_Modal_split!L$3 * 0.01</f>
        <v>0</v>
      </c>
      <c r="AY82" s="303">
        <f>INDEX($A$78:$H$85,MATCH($L39,$B$78:$B$85,0),MATCH($AO$77,$A$78:$H$78,0))*고양시_Modal_split!M$3 * 0.01</f>
        <v>0</v>
      </c>
      <c r="AZ82" s="303">
        <f>INDEX($A$78:$H$85,MATCH($L39,$B$78:$B$85,0),MATCH($AO$77,$A$78:$H$78,0))*고양시_Modal_split!N$3 * 0.01</f>
        <v>0</v>
      </c>
      <c r="BA82" s="207">
        <f>INDEX($A$78:$H$85,MATCH($L39,$B$78:$B$85,0),MATCH($AO$77,$A$78:$H$78,0))*고양시_Modal_split!O$3 * 0.01</f>
        <v>0</v>
      </c>
      <c r="BB82" s="207">
        <f>INDEX($A$78:$H$85,MATCH($L39,$B$78:$B$85,0),MATCH($AO$77,$A$78:$H$78,0))*고양시_Modal_split!P$3 * 0.01</f>
        <v>0</v>
      </c>
      <c r="BC82" s="207">
        <f>INDEX($A$78:$H$85,MATCH($L82,$B$78:$B$85,0),MATCH($BC$77,$A$78:$H$78,0))*고양시_Modal_split!C$3 * 0.01</f>
        <v>0</v>
      </c>
      <c r="BD82" s="207">
        <f>INDEX($A$78:$H$85,MATCH($L82,$B$78:$B$85,0),MATCH($BC$77,$A$78:$H$78,0))*고양시_Modal_split!D$3 * 0.01</f>
        <v>0</v>
      </c>
      <c r="BE82" s="207">
        <f>INDEX($A$78:$H$85,MATCH($L82,$B$78:$B$85,0),MATCH($BC$77,$A$78:$H$78,0))*고양시_Modal_split!E$3 * 0.01</f>
        <v>0</v>
      </c>
      <c r="BF82" s="207">
        <f>INDEX($A$78:$H$85,MATCH($L82,$B$78:$B$85,0),MATCH($BC$77,$A$78:$H$78,0))*고양시_Modal_split!F$3 * 0.01</f>
        <v>0</v>
      </c>
      <c r="BG82" s="207">
        <f>INDEX($A$78:$H$85,MATCH($L82,$B$78:$B$85,0),MATCH($BC$77,$A$78:$H$78,0))*고양시_Modal_split!G$3 * 0.01</f>
        <v>0</v>
      </c>
      <c r="BH82" s="207">
        <f>INDEX($A$78:$H$85,MATCH($L82,$B$78:$B$85,0),MATCH($BC$77,$A$78:$H$78,0))*고양시_Modal_split!H$3 * 0.01</f>
        <v>0</v>
      </c>
      <c r="BI82" s="207">
        <f>INDEX($A$78:$H$85,MATCH($L82,$B$78:$B$85,0),MATCH($BC$77,$A$78:$H$78,0))*고양시_Modal_split!I$3 * 0.01</f>
        <v>0</v>
      </c>
      <c r="BJ82" s="207">
        <f>INDEX($A$78:$H$85,MATCH($L82,$B$78:$B$85,0),MATCH($BC$77,$A$78:$H$78,0))*고양시_Modal_split!J$3 * 0.01</f>
        <v>0</v>
      </c>
      <c r="BK82" s="207">
        <f>INDEX($A$78:$H$85,MATCH($L82,$B$78:$B$85,0),MATCH($BC$77,$A$78:$H$78,0))*고양시_Modal_split!K$3 * 0.01</f>
        <v>0</v>
      </c>
      <c r="BL82" s="207">
        <f>INDEX($A$78:$H$85,MATCH($L82,$B$78:$B$85,0),MATCH($BC$77,$A$78:$H$78,0))*고양시_Modal_split!L$3 * 0.01</f>
        <v>0</v>
      </c>
      <c r="BM82" s="207">
        <f>INDEX($A$78:$H$85,MATCH($L82,$B$78:$B$85,0),MATCH($BC$77,$A$78:$H$78,0))*고양시_Modal_split!M$3 * 0.01</f>
        <v>0</v>
      </c>
      <c r="BN82" s="207">
        <f>INDEX($A$78:$H$85,MATCH($L82,$B$78:$B$85,0),MATCH($BC$77,$A$78:$H$78,0))*고양시_Modal_split!N$3 * 0.01</f>
        <v>0</v>
      </c>
      <c r="BO82" s="207">
        <f>INDEX($A$78:$H$85,MATCH($L82,$B$78:$B$85,0),MATCH($BC$77,$A$78:$H$78,0))*고양시_Modal_split!O$3 * 0.01</f>
        <v>0</v>
      </c>
      <c r="BP82" s="207">
        <f>INDEX($A$78:$H$85,MATCH($L82,$B$78:$B$85,0),MATCH($BC$77,$A$78:$H$78,0))*고양시_Modal_split!P$3 * 0.01</f>
        <v>0</v>
      </c>
      <c r="BQ82" s="207">
        <f>INDEX($A$78:$H$85,MATCH($L39,$B$78:$B$85,0),MATCH($BQ$77,$A$78:$H$78,0))*고양시_Modal_split!C$3 * 0.01</f>
        <v>0</v>
      </c>
      <c r="BR82" s="207">
        <f>INDEX($A$78:$H$85,MATCH($L39,$B$78:$B$85,0),MATCH($BQ$77,$A$78:$H$78,0))*고양시_Modal_split!D$3 * 0.01</f>
        <v>0</v>
      </c>
      <c r="BS82" s="207">
        <f>INDEX($A$78:$H$85,MATCH($L39,$B$78:$B$85,0),MATCH($BQ$77,$A$78:$H$78,0))*고양시_Modal_split!E$3 * 0.01</f>
        <v>0</v>
      </c>
      <c r="BT82" s="207">
        <f>INDEX($A$78:$H$85,MATCH($L39,$B$78:$B$85,0),MATCH($BQ$77,$A$78:$H$78,0))*고양시_Modal_split!F$3 * 0.01</f>
        <v>0</v>
      </c>
      <c r="BU82" s="207">
        <f>INDEX($A$78:$H$85,MATCH($L39,$B$78:$B$85,0),MATCH($BQ$77,$A$78:$H$78,0))*고양시_Modal_split!G$3 * 0.01</f>
        <v>0</v>
      </c>
      <c r="BV82" s="207">
        <f>INDEX($A$78:$H$85,MATCH($L39,$B$78:$B$85,0),MATCH($BQ$77,$A$78:$H$78,0))*고양시_Modal_split!H$3 * 0.01</f>
        <v>0</v>
      </c>
      <c r="BW82" s="207">
        <f>INDEX($A$78:$H$85,MATCH($L39,$B$78:$B$85,0),MATCH($BQ$77,$A$78:$H$78,0))*고양시_Modal_split!I$3 * 0.01</f>
        <v>0</v>
      </c>
      <c r="BX82" s="207">
        <f>INDEX($A$78:$H$85,MATCH($L39,$B$78:$B$85,0),MATCH($BQ$77,$A$78:$H$78,0))*고양시_Modal_split!J$3 * 0.01</f>
        <v>0</v>
      </c>
      <c r="BY82" s="207">
        <f>INDEX($A$78:$H$85,MATCH($L39,$B$78:$B$85,0),MATCH($BQ$77,$A$78:$H$78,0))*고양시_Modal_split!K$3 * 0.01</f>
        <v>0</v>
      </c>
      <c r="BZ82" s="207">
        <f>INDEX($A$78:$H$85,MATCH($L39,$B$78:$B$85,0),MATCH($BQ$77,$A$78:$H$78,0))*고양시_Modal_split!L$3 * 0.01</f>
        <v>0</v>
      </c>
      <c r="CA82" s="207">
        <f>INDEX($A$78:$H$85,MATCH($L39,$B$78:$B$85,0),MATCH($BQ$77,$A$78:$H$78,0))*고양시_Modal_split!M$3 * 0.01</f>
        <v>0</v>
      </c>
      <c r="CB82" s="207">
        <f>INDEX($A$78:$H$85,MATCH($L39,$B$78:$B$85,0),MATCH($BQ$77,$A$78:$H$78,0))*고양시_Modal_split!N$3 * 0.01</f>
        <v>0</v>
      </c>
      <c r="CC82" s="207">
        <f>INDEX($A$78:$H$85,MATCH($L39,$B$78:$B$85,0),MATCH($BQ$77,$A$78:$H$78,0))*고양시_Modal_split!O$3 * 0.01</f>
        <v>0</v>
      </c>
      <c r="CD82" s="207">
        <f>INDEX($A$78:$H$85,MATCH($L39,$B$78:$B$85,0),MATCH($BQ$77,$A$78:$H$78,0))*고양시_Modal_split!P$3 * 0.01</f>
        <v>0</v>
      </c>
      <c r="CE82" s="304">
        <f t="shared" si="21"/>
        <v>0</v>
      </c>
      <c r="CF82" s="304">
        <f t="shared" si="17"/>
        <v>0</v>
      </c>
      <c r="CG82" s="304">
        <f t="shared" si="17"/>
        <v>0</v>
      </c>
      <c r="CH82" s="304">
        <f t="shared" si="17"/>
        <v>0</v>
      </c>
      <c r="CI82" s="304">
        <f t="shared" si="17"/>
        <v>0</v>
      </c>
      <c r="CJ82" s="304">
        <f t="shared" si="17"/>
        <v>0</v>
      </c>
      <c r="CK82" s="304">
        <f t="shared" si="17"/>
        <v>0</v>
      </c>
      <c r="CL82" s="304">
        <f t="shared" si="17"/>
        <v>0</v>
      </c>
      <c r="CM82" s="304">
        <f t="shared" si="17"/>
        <v>0</v>
      </c>
      <c r="CN82" s="304">
        <f t="shared" si="17"/>
        <v>0</v>
      </c>
      <c r="CO82" s="304">
        <f t="shared" si="17"/>
        <v>0</v>
      </c>
      <c r="CP82" s="304">
        <f t="shared" si="17"/>
        <v>0</v>
      </c>
      <c r="CQ82" s="304">
        <f t="shared" si="17"/>
        <v>0</v>
      </c>
      <c r="CR82" s="304">
        <f t="shared" si="17"/>
        <v>0</v>
      </c>
      <c r="CS82" s="305">
        <f t="shared" si="22"/>
        <v>0</v>
      </c>
      <c r="CV82" s="265"/>
      <c r="CW82" s="265" t="s">
        <v>718</v>
      </c>
      <c r="CX82" s="267">
        <f>INDEX($M$77:$Z$85,MATCH($CW82,$L$77:$L$85,0),MATCH(CX$78,$M$78:$Z$78,0))/INDEX(고양시_재차인원!$D$4:$H$35,MATCH("고양시",고양시_재차인원!$B$4:$B$35,0),MATCH($CX$77,고양시_재차인원!$D$4:$H$4,0))</f>
        <v>0</v>
      </c>
      <c r="CY82" s="267">
        <f>INDEX($M$77:$Z$85,MATCH($CW82,$L$77:$L$85,0),MATCH(CY$78,$M$78:$Z$78,0))/INDEX(고양시_재차인원!$K$4:$O$20,MATCH("경기도",고양시_재차인원!$K$4:$K$20,0),MATCH(CY$78,고양시_재차인원!$K$4:$O$4,0))</f>
        <v>0</v>
      </c>
      <c r="CZ82" s="267">
        <f>INDEX($M$77:$Z$85,MATCH($CW82,$L$77:$L$85,0),MATCH(CZ$78,$M$78:$Z$78,0))/INDEX(고양시_재차인원!$K$4:$O$20,MATCH("경기도",고양시_재차인원!$K$4:$K$20,0),MATCH(CZ$78,고양시_재차인원!$K$4:$O$4,0))</f>
        <v>0</v>
      </c>
      <c r="DA82" s="267">
        <f>INDEX($M$77:$Z$85,MATCH($CW82,$L$77:$L$85,0),MATCH(DA$78,$M$78:$Z$78,0))/INDEX(고양시_재차인원!$D$4:$H$35,MATCH("고양시",고양시_재차인원!$B$4:$B$35,0),MATCH($CX$77,고양시_재차인원!$D$4:$H$4,0))</f>
        <v>0</v>
      </c>
      <c r="DB82" s="267">
        <f>INDEX($AA$77:$AN$85,MATCH($CW82,$L$77:$L$85,0),MATCH(DB$78,$AA$78:$AN$78,0))/INDEX(고양시_재차인원!$D$4:$H$35,MATCH("고양시",고양시_재차인원!$B$4:$B$35,0),MATCH($DB$77,고양시_재차인원!$D$4:$H$4,0))</f>
        <v>0</v>
      </c>
      <c r="DC82" s="267">
        <f>INDEX($AA$77:$AN$85,MATCH($CW82,$L$77:$L$85,0),MATCH(DC$78,$AA$78:$AN$78,0))/INDEX(고양시_재차인원!$K$4:$O$20,MATCH("경기도",고양시_재차인원!$K$4:$K$20,0),MATCH(DC$78,고양시_재차인원!$K$4:$O$4,0))</f>
        <v>0</v>
      </c>
      <c r="DD82" s="267">
        <f>INDEX($AA$77:$AN$85,MATCH($CW82,$L$77:$L$85,0),MATCH(DD$78,$AA$78:$AN$78,0))/INDEX(고양시_재차인원!$K$4:$O$20,MATCH("경기도",고양시_재차인원!$K$4:$K$20,0),MATCH(DD$78,고양시_재차인원!$K$4:$O$4,0))</f>
        <v>0</v>
      </c>
      <c r="DE82" s="267">
        <f>INDEX($AA$77:$AN$85,MATCH($CW82,$L$77:$L$85,0),MATCH(DE$78,$AA$78:$AN$78,0))/INDEX(고양시_재차인원!$D$4:$H$35,MATCH("고양시",고양시_재차인원!$B$4:$B$35,0),MATCH($DB$77,고양시_재차인원!$D$4:$H$4,0))</f>
        <v>0</v>
      </c>
      <c r="DF82" s="267">
        <f>INDEX($AO$77:$BB$85,MATCH($CW82,$L$77:$L$85,0),MATCH(DF$78,$AO$78:$BB$78,0))/INDEX(고양시_재차인원!$D$4:$H$35,MATCH("고양시",고양시_재차인원!$B$4:$B$35,0),MATCH($DF$77,고양시_재차인원!$D$4:$H$4,0))</f>
        <v>0</v>
      </c>
      <c r="DG82" s="267">
        <f>INDEX($AO$77:$BB$85,MATCH($CW82,$L$77:$L$85,0),MATCH(DG$78,$AO$78:$BB$78,0))/INDEX(고양시_재차인원!$K$4:$O$20,MATCH("경기도",고양시_재차인원!$K$4:$K$20,0),MATCH(DG$78,고양시_재차인원!$K$4:$O$4,0))</f>
        <v>0</v>
      </c>
      <c r="DH82" s="267">
        <f>INDEX($AO$77:$BB$85,MATCH($CW82,$L$77:$L$85,0),MATCH(DH$78,$AO$78:$BB$78,0))/INDEX(고양시_재차인원!$K$4:$O$20,MATCH("경기도",고양시_재차인원!$K$4:$K$20,0),MATCH(DH$78,고양시_재차인원!$K$4:$O$4,0))</f>
        <v>0</v>
      </c>
      <c r="DI82" s="267">
        <f>INDEX($AO$77:$BB$85,MATCH($CW82,$L$77:$L$85,0),MATCH(DI$78,$AO$78:$BB$78,0))/INDEX(고양시_재차인원!$D$4:$H$35,MATCH("고양시",고양시_재차인원!$B$4:$B$35,0),MATCH($DF$77,고양시_재차인원!$D$4:$H$4,0))</f>
        <v>0</v>
      </c>
      <c r="DJ82" s="267">
        <f>INDEX($BC$77:$BP$85,MATCH($CW82,$L$77:$L$85,0),MATCH(DJ$78,$BC$78:$BP$78,0))/INDEX(고양시_재차인원!$D$4:$H$35,MATCH("고양시",고양시_재차인원!$B$4:$B$35,0),MATCH($DJ$77,고양시_재차인원!$D$4:$H$4,0))</f>
        <v>0</v>
      </c>
      <c r="DK82" s="267">
        <f>INDEX($BC$77:$BP$85,MATCH($CW82,$L$77:$L$85,0),MATCH(DK$78,$BC$78:$BP$78,0))/INDEX(고양시_재차인원!$K$4:$O$20,MATCH("경기도",고양시_재차인원!$K$4:$K$20,0),MATCH(DK$78,고양시_재차인원!$K$4:$O$4,0))</f>
        <v>0</v>
      </c>
      <c r="DL82" s="267">
        <f>INDEX($BC$77:$BP$85,MATCH($CW82,$L$77:$L$85,0),MATCH(DL$78,$BC$78:$BP$78,0))/INDEX(고양시_재차인원!$K$4:$O$20,MATCH("경기도",고양시_재차인원!$K$4:$K$20,0),MATCH(DL$78,고양시_재차인원!$K$4:$O$4,0))</f>
        <v>0</v>
      </c>
      <c r="DM82" s="267">
        <f>INDEX($BC$77:$BP$85,MATCH($CW82,$L$77:$L$85,0),MATCH(DM$78,$BC$78:$BP$78,0))/INDEX(고양시_재차인원!$D$4:$H$35,MATCH("고양시",고양시_재차인원!$B$4:$B$35,0),MATCH($DJ$77,고양시_재차인원!$D$4:$H$4,0))</f>
        <v>0</v>
      </c>
      <c r="DN82" s="267">
        <f>INDEX($BQ$77:$CD$85,MATCH($CW82,$L$77:$L$85,0),MATCH(DN$78,$BQ$78:$CD$78,0))/INDEX(고양시_재차인원!$D$4:$H$35,MATCH("고양시",고양시_재차인원!$B$4:$B$35,0),MATCH($DN$77,고양시_재차인원!$D$4:$H$4,0))</f>
        <v>0</v>
      </c>
      <c r="DO82" s="267">
        <f>INDEX($BQ$77:$CD$85,MATCH($CW82,$L$77:$L$85,0),MATCH(DO$78,$BQ$78:$CD$78,0))/INDEX(고양시_재차인원!$K$4:$O$20,MATCH("경기도",고양시_재차인원!$K$4:$K$20,0),MATCH(DO$78,고양시_재차인원!$K$4:$O$4,0))</f>
        <v>0</v>
      </c>
      <c r="DP82" s="267">
        <f>INDEX($BQ$77:$CD$85,MATCH($CW82,$L$77:$L$85,0),MATCH(DP$78,$BQ$78:$CD$78,0))/INDEX(고양시_재차인원!$K$4:$O$20,MATCH("경기도",고양시_재차인원!$K$4:$K$20,0),MATCH(DP$78,고양시_재차인원!$K$4:$O$4,0))</f>
        <v>0</v>
      </c>
      <c r="DQ82" s="267">
        <f>INDEX($BQ$77:$CD$85,MATCH($CW82,$L$77:$L$85,0),MATCH(DQ$78,$BQ$78:$CD$78,0))/INDEX(고양시_재차인원!$D$4:$H$35,MATCH("고양시",고양시_재차인원!$B$4:$B$35,0),MATCH($DN$77,고양시_재차인원!$D$4:$H$4,0))</f>
        <v>0</v>
      </c>
      <c r="DR82" s="270">
        <f t="shared" si="23"/>
        <v>0</v>
      </c>
      <c r="DS82" s="270">
        <f t="shared" si="18"/>
        <v>0</v>
      </c>
      <c r="DT82" s="270">
        <f t="shared" si="18"/>
        <v>0</v>
      </c>
      <c r="DU82" s="270">
        <f t="shared" si="18"/>
        <v>0</v>
      </c>
      <c r="DW82" s="278"/>
      <c r="DX82" s="278" t="s">
        <v>718</v>
      </c>
      <c r="DY82" s="281">
        <f t="shared" si="24"/>
        <v>0</v>
      </c>
      <c r="DZ82" s="281">
        <f t="shared" si="25"/>
        <v>0</v>
      </c>
      <c r="EB82" s="278"/>
      <c r="EC82" s="278" t="s">
        <v>671</v>
      </c>
      <c r="ED82" s="281">
        <f t="shared" si="26"/>
        <v>0</v>
      </c>
      <c r="EE82" s="281">
        <f t="shared" si="19"/>
        <v>0</v>
      </c>
      <c r="FE82" t="s">
        <v>12</v>
      </c>
      <c r="FF82" t="s">
        <v>359</v>
      </c>
      <c r="FG82">
        <v>5055.2204000000002</v>
      </c>
      <c r="FH82" s="277" t="e">
        <f t="shared" si="27"/>
        <v>#DIV/0!</v>
      </c>
    </row>
    <row r="83" spans="1:164" ht="25">
      <c r="A83" s="205"/>
      <c r="B83" s="205" t="s">
        <v>716</v>
      </c>
      <c r="C83" s="400">
        <f>$D12*KTDB_TripDistribution_2045!T$12 * (1+KTDB_발생량도착량_증가율!$C$7) * (1+KTDB_발생량도착량_증가율!$D$8*5) * (1+KTDB_발생량도착량_증가율!$E$8*5) * (1+KTDB_발생량도착량_증가율!$F$8*5) * (1+KTDB_발생량도착량_증가율!$G$8*5)</f>
        <v>46.521421551106599</v>
      </c>
      <c r="D83" s="400">
        <f>$D12*KTDB_TripDistribution_2045!U$12 * (1+KTDB_발생량도착량_증가율!$C$7) * (1+KTDB_발생량도착량_증가율!$D$8*5) * (1+KTDB_발생량도착량_증가율!$E$8*5) * (1+KTDB_발생량도착량_증가율!$F$8*5) * (1+KTDB_발생량도착량_증가율!$G$8*5)</f>
        <v>336.68504519696717</v>
      </c>
      <c r="E83" s="400">
        <f>$D12*KTDB_TripDistribution_2045!V$12 * (1+KTDB_발생량도착량_증가율!$C$7) * (1+KTDB_발생량도착량_증가율!$D$8*5) * (1+KTDB_발생량도착량_증가율!$E$8*5) * (1+KTDB_발생량도착량_증가율!$F$8*5) * (1+KTDB_발생량도착량_증가율!$G$8*5)</f>
        <v>19.314787677482034</v>
      </c>
      <c r="F83" s="400">
        <f>$D12*KTDB_TripDistribution_2045!W$12 * (1+KTDB_발생량도착량_증가율!$C$7) * (1+KTDB_발생량도착량_증가율!$D$8*5) * (1+KTDB_발생량도착량_증가율!$E$8*5) * (1+KTDB_발생량도착량_증가율!$F$8*5) * (1+KTDB_발생량도착량_증가율!$G$8*5)</f>
        <v>3.0353254600548031E-2</v>
      </c>
      <c r="G83" s="400">
        <f>$D12*KTDB_TripDistribution_2045!X$12 * (1+KTDB_발생량도착량_증가율!$C$7) * (1+KTDB_발생량도착량_증가율!$D$8*5) * (1+KTDB_발생량도착량_증가율!$E$8*5) * (1+KTDB_발생량도착량_증가율!$F$8*5) * (1+KTDB_발생량도착량_증가율!$G$8*5)</f>
        <v>0.11466785071318138</v>
      </c>
      <c r="H83" s="400">
        <f>$D12*KTDB_TripDistribution_2045!Y$12 * (1+KTDB_발생량도착량_증가율!$C$7) * (1+KTDB_발생량도착량_증가율!$D$8*5) * (1+KTDB_발생량도착량_증가율!$E$8*5) * (1+KTDB_발생량도착량_증가율!$F$8*5) * (1+KTDB_발생량도착량_증가율!$G$8*5)</f>
        <v>402.66627553086943</v>
      </c>
      <c r="J83" s="230">
        <f t="shared" si="16"/>
        <v>402.66627553086954</v>
      </c>
      <c r="K83" s="206"/>
      <c r="L83" s="206" t="s">
        <v>716</v>
      </c>
      <c r="M83" s="206">
        <f>INDEX($A$78:$H$85,MATCH($L83,$B$78:$B$85,0),MATCH($M$77,$A$78:$H$78,0))*고양시_Modal_split!C$3 * 0.01</f>
        <v>0.13025998034309846</v>
      </c>
      <c r="N83" s="206">
        <f>INDEX($A$78:$H$85,MATCH($L83,$B$78:$B$85,0),MATCH($M$77,$A$78:$H$78,0))*고양시_Modal_split!D$3 * 0.01</f>
        <v>21.879024555485437</v>
      </c>
      <c r="O83" s="206">
        <f>INDEX($A$78:$H$85,MATCH($L83,$B$78:$B$85,0),MATCH($M$77,$A$78:$H$78,0))*고양시_Modal_split!E$3 * 0.01</f>
        <v>2.6470688862579652</v>
      </c>
      <c r="P83" s="206">
        <f>INDEX($A$78:$H$85,MATCH($L83,$B$78:$B$85,0),MATCH($M$77,$A$78:$H$78,0))*고양시_Modal_split!F$3 * 0.01</f>
        <v>4.2660143562364752</v>
      </c>
      <c r="Q83" s="206">
        <f>INDEX($A$78:$H$85,MATCH($L83,$B$78:$B$85,0),MATCH($M$77,$A$78:$H$78,0))*고양시_Modal_split!G$3 * 0.01</f>
        <v>0.42799707827018069</v>
      </c>
      <c r="R83" s="206">
        <f>INDEX($A$78:$H$85,MATCH($L83,$B$78:$B$85,0),MATCH($M$77,$A$78:$H$78,0))*고양시_Modal_split!H$3 * 0.01</f>
        <v>4.6521421551106602E-3</v>
      </c>
      <c r="S83" s="206">
        <f>INDEX($A$78:$H$85,MATCH($L83,$B$78:$B$85,0),MATCH($M$77,$A$78:$H$78,0))*고양시_Modal_split!I$3 * 0.01</f>
        <v>1.2932955191207633</v>
      </c>
      <c r="T83" s="206">
        <f>INDEX($A$78:$H$85,MATCH($L83,$B$78:$B$85,0),MATCH($M$77,$A$78:$H$78,0))*고양시_Modal_split!J$3 * 0.01</f>
        <v>14.161120720156848</v>
      </c>
      <c r="U83" s="206">
        <f>INDEX($A$78:$H$85,MATCH($L83,$B$78:$B$85,0),MATCH($M$77,$A$78:$H$78,0))*고양시_Modal_split!K$3 * 0.01</f>
        <v>6.9782132326659904E-2</v>
      </c>
      <c r="V83" s="206">
        <f>INDEX($A$78:$H$85,MATCH($L83,$B$78:$B$85,0),MATCH($M$77,$A$78:$H$78,0))*고양시_Modal_split!L$3 * 0.01</f>
        <v>1.4049469308434193</v>
      </c>
      <c r="W83" s="206">
        <f>INDEX($A$78:$H$85,MATCH($L83,$B$78:$B$85,0),MATCH($M$77,$A$78:$H$78,0))*고양시_Modal_split!M$3 * 0.01</f>
        <v>0.10699926956754517</v>
      </c>
      <c r="X83" s="206">
        <f>INDEX($A$78:$H$85,MATCH($L83,$B$78:$B$85,0),MATCH($M$77,$A$78:$H$78,0))*고양시_Modal_split!N$3 * 0.01</f>
        <v>4.6521421551106598E-2</v>
      </c>
      <c r="Y83" s="206">
        <f>INDEX($A$78:$H$85,MATCH($L83,$B$78:$B$85,0),MATCH($M$77,$A$78:$H$78,0))*고양시_Modal_split!O$3 * 0.01</f>
        <v>8.3738558791991866E-2</v>
      </c>
      <c r="Z83" s="209">
        <f>INDEX($A$78:$H$85,MATCH($L83,$B$78:$B$85,0),MATCH($M$77,$A$78:$H$78,0))*고양시_Modal_split!P$3 * 0.01</f>
        <v>46.521421551106599</v>
      </c>
      <c r="AA83" s="207">
        <f>INDEX($A$78:$H$85,MATCH($L83,$B$78:$B$85,0),MATCH($AA$77,$A$78:$H$78,0))*고양시_Modal_split!C$3 * 0.01</f>
        <v>0.942718126551508</v>
      </c>
      <c r="AB83" s="207">
        <f>INDEX($A$78:$H$85,MATCH($L83,$B$78:$B$85,0),MATCH($AA$77,$A$78:$H$78,0))*고양시_Modal_split!D$3 * 0.01</f>
        <v>158.34297675613368</v>
      </c>
      <c r="AC83" s="207">
        <f>INDEX($A$78:$H$85,MATCH($L83,$B$78:$B$85,0),MATCH($AA$77,$A$78:$H$78,0))*고양시_Modal_split!E$3 * 0.01</f>
        <v>19.157379071707432</v>
      </c>
      <c r="AD83" s="207">
        <f>INDEX($A$78:$H$85,MATCH($L83,$B$78:$B$85,0),MATCH($AA$77,$A$78:$H$78,0))*고양시_Modal_split!F$3 * 0.01</f>
        <v>30.87401864456189</v>
      </c>
      <c r="AE83" s="207">
        <f>INDEX($A$78:$H$85,MATCH($L83,$B$78:$B$85,0),MATCH($AA$77,$A$78:$H$78,0))*고양시_Modal_split!G$3 * 0.01</f>
        <v>3.0975024158120976</v>
      </c>
      <c r="AF83" s="207">
        <f>INDEX($A$78:$H$85,MATCH($L83,$B$78:$B$85,0),MATCH($AA$77,$A$78:$H$78,0))*고양시_Modal_split!H$3 * 0.01</f>
        <v>3.3668504519696718E-2</v>
      </c>
      <c r="AG83" s="207">
        <f>INDEX($A$78:$H$85,MATCH($L83,$B$78:$B$85,0),MATCH($AA$77,$A$78:$H$78,0))*고양시_Modal_split!I$3 * 0.01</f>
        <v>9.3598442564756859</v>
      </c>
      <c r="AH83" s="207">
        <f>INDEX($A$78:$H$85,MATCH($L83,$B$78:$B$85,0),MATCH($AA$77,$A$78:$H$78,0))*고양시_Modal_split!J$3 * 0.01</f>
        <v>102.48692775795682</v>
      </c>
      <c r="AI83" s="207">
        <f>INDEX($A$78:$H$85,MATCH($L83,$B$78:$B$85,0),MATCH($AA$77,$A$78:$H$78,0))*고양시_Modal_split!K$3 * 0.01</f>
        <v>0.50502756779545077</v>
      </c>
      <c r="AJ83" s="207">
        <f>INDEX($A$78:$H$85,MATCH($L83,$B$78:$B$85,0),MATCH($AA$77,$A$78:$H$78,0))*고양시_Modal_split!L$3 * 0.01</f>
        <v>10.167888364948409</v>
      </c>
      <c r="AK83" s="207">
        <f>INDEX($A$78:$H$85,MATCH($L83,$B$78:$B$85,0),MATCH($AA$77,$A$78:$H$78,0))*고양시_Modal_split!M$3 * 0.01</f>
        <v>0.77437560395302441</v>
      </c>
      <c r="AL83" s="207">
        <f>INDEX($A$78:$H$85,MATCH($L83,$B$78:$B$85,0),MATCH($AA$77,$A$78:$H$78,0))*고양시_Modal_split!N$3 * 0.01</f>
        <v>0.33668504519696718</v>
      </c>
      <c r="AM83" s="207">
        <f>INDEX($A$78:$H$85,MATCH($L83,$B$78:$B$85,0),MATCH($AA$77,$A$78:$H$78,0))*고양시_Modal_split!O$3 * 0.01</f>
        <v>0.60603308135454081</v>
      </c>
      <c r="AN83" s="207">
        <f>INDEX($A$78:$H$85,MATCH($L83,$B$78:$B$85,0),MATCH($AA$77,$A$78:$H$78,0))*고양시_Modal_split!P$3 * 0.01</f>
        <v>336.68504519696717</v>
      </c>
      <c r="AO83" s="303">
        <f>INDEX($A$78:$H$85,MATCH($L40,$B$78:$B$85,0),MATCH($AO$77,$A$78:$H$78,0))*고양시_Modal_split!C$3 * 0.01</f>
        <v>5.4081405496949689E-2</v>
      </c>
      <c r="AP83" s="303">
        <f>INDEX($A$78:$H$85,MATCH($L40,$B$78:$B$85,0),MATCH($AO$77,$A$78:$H$78,0))*고양시_Modal_split!D$3 * 0.01</f>
        <v>9.0837446447198005</v>
      </c>
      <c r="AQ83" s="303">
        <f>INDEX($A$78:$H$85,MATCH($L40,$B$78:$B$85,0),MATCH($AO$77,$A$78:$H$78,0))*고양시_Modal_split!E$3 * 0.01</f>
        <v>1.0990114188487277</v>
      </c>
      <c r="AR83" s="303">
        <f>INDEX($A$78:$H$85,MATCH($L40,$B$78:$B$85,0),MATCH($AO$77,$A$78:$H$78,0))*고양시_Modal_split!F$3 * 0.01</f>
        <v>1.7711660300251026</v>
      </c>
      <c r="AS83" s="303">
        <f>INDEX($A$78:$H$85,MATCH($L40,$B$78:$B$85,0),MATCH($AO$77,$A$78:$H$78,0))*고양시_Modal_split!G$3 * 0.01</f>
        <v>0.1776960466328347</v>
      </c>
      <c r="AT83" s="303">
        <f>INDEX($A$78:$H$85,MATCH($L40,$B$78:$B$85,0),MATCH($AO$77,$A$78:$H$78,0))*고양시_Modal_split!H$3 * 0.01</f>
        <v>1.9314787677482035E-3</v>
      </c>
      <c r="AU83" s="303">
        <f>INDEX($A$78:$H$85,MATCH($L40,$B$78:$B$85,0),MATCH($AO$77,$A$78:$H$78,0))*고양시_Modal_split!I$3 * 0.01</f>
        <v>0.53695109743400049</v>
      </c>
      <c r="AV83" s="303">
        <f>INDEX($A$78:$H$85,MATCH($L40,$B$78:$B$85,0),MATCH($AO$77,$A$78:$H$78,0))*고양시_Modal_split!J$3 * 0.01</f>
        <v>5.8794213690255308</v>
      </c>
      <c r="AW83" s="303">
        <f>INDEX($A$78:$H$85,MATCH($L40,$B$78:$B$85,0),MATCH($AO$77,$A$78:$H$78,0))*고양시_Modal_split!K$3 * 0.01</f>
        <v>2.897218151622305E-2</v>
      </c>
      <c r="AX83" s="303">
        <f>INDEX($A$78:$H$85,MATCH($L40,$B$78:$B$85,0),MATCH($AO$77,$A$78:$H$78,0))*고양시_Modal_split!L$3 * 0.01</f>
        <v>0.58330658785995748</v>
      </c>
      <c r="AY83" s="303">
        <f>INDEX($A$78:$H$85,MATCH($L40,$B$78:$B$85,0),MATCH($AO$77,$A$78:$H$78,0))*고양시_Modal_split!M$3 * 0.01</f>
        <v>4.4424011658208674E-2</v>
      </c>
      <c r="AZ83" s="303">
        <f>INDEX($A$78:$H$85,MATCH($L40,$B$78:$B$85,0),MATCH($AO$77,$A$78:$H$78,0))*고양시_Modal_split!N$3 * 0.01</f>
        <v>1.9314787677482036E-2</v>
      </c>
      <c r="BA83" s="207">
        <f>INDEX($A$78:$H$85,MATCH($L40,$B$78:$B$85,0),MATCH($AO$77,$A$78:$H$78,0))*고양시_Modal_split!O$3 * 0.01</f>
        <v>3.476661781946766E-2</v>
      </c>
      <c r="BB83" s="207">
        <f>INDEX($A$78:$H$85,MATCH($L40,$B$78:$B$85,0),MATCH($AO$77,$A$78:$H$78,0))*고양시_Modal_split!P$3 * 0.01</f>
        <v>19.314787677482034</v>
      </c>
      <c r="BC83" s="207">
        <f>INDEX($A$78:$H$85,MATCH($L83,$B$78:$B$85,0),MATCH($BC$77,$A$78:$H$78,0))*고양시_Modal_split!C$3 * 0.01</f>
        <v>8.4989112881534492E-5</v>
      </c>
      <c r="BD83" s="207">
        <f>INDEX($A$78:$H$85,MATCH($L83,$B$78:$B$85,0),MATCH($BC$77,$A$78:$H$78,0))*고양시_Modal_split!D$3 * 0.01</f>
        <v>1.4275135638637739E-2</v>
      </c>
      <c r="BE83" s="207">
        <f>INDEX($A$78:$H$85,MATCH($L83,$B$78:$B$85,0),MATCH($BC$77,$A$78:$H$78,0))*고양시_Modal_split!E$3 * 0.01</f>
        <v>1.7271001867711828E-3</v>
      </c>
      <c r="BF83" s="207">
        <f>INDEX($A$78:$H$85,MATCH($L83,$B$78:$B$85,0),MATCH($BC$77,$A$78:$H$78,0))*고양시_Modal_split!F$3 * 0.01</f>
        <v>2.7833934468702542E-3</v>
      </c>
      <c r="BG83" s="207">
        <f>INDEX($A$78:$H$85,MATCH($L83,$B$78:$B$85,0),MATCH($BC$77,$A$78:$H$78,0))*고양시_Modal_split!G$3 * 0.01</f>
        <v>2.7924994232504186E-4</v>
      </c>
      <c r="BH83" s="207">
        <f>INDEX($A$78:$H$85,MATCH($L83,$B$78:$B$85,0),MATCH($BC$77,$A$78:$H$78,0))*고양시_Modal_split!H$3 * 0.01</f>
        <v>3.0353254600548035E-6</v>
      </c>
      <c r="BI83" s="207">
        <f>INDEX($A$78:$H$85,MATCH($L83,$B$78:$B$85,0),MATCH($BC$77,$A$78:$H$78,0))*고양시_Modal_split!I$3 * 0.01</f>
        <v>8.4382047789523522E-4</v>
      </c>
      <c r="BJ83" s="207">
        <f>INDEX($A$78:$H$85,MATCH($L83,$B$78:$B$85,0),MATCH($BC$77,$A$78:$H$78,0))*고양시_Modal_split!J$3 * 0.01</f>
        <v>9.2395307004068204E-3</v>
      </c>
      <c r="BK83" s="207">
        <f>INDEX($A$78:$H$85,MATCH($L83,$B$78:$B$85,0),MATCH($BC$77,$A$78:$H$78,0))*고양시_Modal_split!K$3 * 0.01</f>
        <v>4.5529881900822047E-5</v>
      </c>
      <c r="BL83" s="207">
        <f>INDEX($A$78:$H$85,MATCH($L83,$B$78:$B$85,0),MATCH($BC$77,$A$78:$H$78,0))*고양시_Modal_split!L$3 * 0.01</f>
        <v>9.1666828893655062E-4</v>
      </c>
      <c r="BM83" s="207">
        <f>INDEX($A$78:$H$85,MATCH($L83,$B$78:$B$85,0),MATCH($BC$77,$A$78:$H$78,0))*고양시_Modal_split!M$3 * 0.01</f>
        <v>6.9812485581260465E-5</v>
      </c>
      <c r="BN83" s="207">
        <f>INDEX($A$78:$H$85,MATCH($L83,$B$78:$B$85,0),MATCH($BC$77,$A$78:$H$78,0))*고양시_Modal_split!N$3 * 0.01</f>
        <v>3.0353254600548034E-5</v>
      </c>
      <c r="BO83" s="207">
        <f>INDEX($A$78:$H$85,MATCH($L83,$B$78:$B$85,0),MATCH($BC$77,$A$78:$H$78,0))*고양시_Modal_split!O$3 * 0.01</f>
        <v>5.4635858280986451E-5</v>
      </c>
      <c r="BP83" s="207">
        <f>INDEX($A$78:$H$85,MATCH($L83,$B$78:$B$85,0),MATCH($BC$77,$A$78:$H$78,0))*고양시_Modal_split!P$3 * 0.01</f>
        <v>3.0353254600548031E-2</v>
      </c>
      <c r="BQ83" s="207">
        <f>INDEX($A$78:$H$85,MATCH($L40,$B$78:$B$85,0),MATCH($BQ$77,$A$78:$H$78,0))*고양시_Modal_split!C$3 * 0.01</f>
        <v>3.2106998199690783E-4</v>
      </c>
      <c r="BR83" s="207">
        <f>INDEX($A$78:$H$85,MATCH($L40,$B$78:$B$85,0),MATCH($BQ$77,$A$78:$H$78,0))*고양시_Modal_split!D$3 * 0.01</f>
        <v>5.3928290190409206E-2</v>
      </c>
      <c r="BS83" s="207">
        <f>INDEX($A$78:$H$85,MATCH($L40,$B$78:$B$85,0),MATCH($BQ$77,$A$78:$H$78,0))*고양시_Modal_split!E$3 * 0.01</f>
        <v>6.5246007055800191E-3</v>
      </c>
      <c r="BT83" s="207">
        <f>INDEX($A$78:$H$85,MATCH($L40,$B$78:$B$85,0),MATCH($BQ$77,$A$78:$H$78,0))*고양시_Modal_split!F$3 * 0.01</f>
        <v>1.0515041910398733E-2</v>
      </c>
      <c r="BU83" s="207">
        <f>INDEX($A$78:$H$85,MATCH($L40,$B$78:$B$85,0),MATCH($BQ$77,$A$78:$H$78,0))*고양시_Modal_split!G$3 * 0.01</f>
        <v>1.0549442265612686E-3</v>
      </c>
      <c r="BV83" s="207">
        <f>INDEX($A$78:$H$85,MATCH($L40,$B$78:$B$85,0),MATCH($BQ$77,$A$78:$H$78,0))*고양시_Modal_split!H$3 * 0.01</f>
        <v>1.1466785071318137E-5</v>
      </c>
      <c r="BW83" s="207">
        <f>INDEX($A$78:$H$85,MATCH($L40,$B$78:$B$85,0),MATCH($BQ$77,$A$78:$H$78,0))*고양시_Modal_split!I$3 * 0.01</f>
        <v>3.1877662498264419E-3</v>
      </c>
      <c r="BX83" s="207">
        <f>INDEX($A$78:$H$85,MATCH($L40,$B$78:$B$85,0),MATCH($BQ$77,$A$78:$H$78,0))*고양시_Modal_split!J$3 * 0.01</f>
        <v>3.4904893757092416E-2</v>
      </c>
      <c r="BY83" s="207">
        <f>INDEX($A$78:$H$85,MATCH($L40,$B$78:$B$85,0),MATCH($BQ$77,$A$78:$H$78,0))*고양시_Modal_split!K$3 * 0.01</f>
        <v>1.7200177606977205E-4</v>
      </c>
      <c r="BZ83" s="207">
        <f>INDEX($A$78:$H$85,MATCH($L40,$B$78:$B$85,0),MATCH($BQ$77,$A$78:$H$78,0))*고양시_Modal_split!L$3 * 0.01</f>
        <v>3.4629690915380781E-3</v>
      </c>
      <c r="CA83" s="207">
        <f>INDEX($A$78:$H$85,MATCH($L40,$B$78:$B$85,0),MATCH($BQ$77,$A$78:$H$78,0))*고양시_Modal_split!M$3 * 0.01</f>
        <v>2.6373605664031715E-4</v>
      </c>
      <c r="CB83" s="207">
        <f>INDEX($A$78:$H$85,MATCH($L40,$B$78:$B$85,0),MATCH($BQ$77,$A$78:$H$78,0))*고양시_Modal_split!N$3 * 0.01</f>
        <v>1.146678507131814E-4</v>
      </c>
      <c r="CC83" s="207">
        <f>INDEX($A$78:$H$85,MATCH($L40,$B$78:$B$85,0),MATCH($BQ$77,$A$78:$H$78,0))*고양시_Modal_split!O$3 * 0.01</f>
        <v>2.0640213128372646E-4</v>
      </c>
      <c r="CD83" s="207">
        <f>INDEX($A$78:$H$85,MATCH($L40,$B$78:$B$85,0),MATCH($BQ$77,$A$78:$H$78,0))*고양시_Modal_split!P$3 * 0.01</f>
        <v>0.11466785071318138</v>
      </c>
      <c r="CE83" s="304">
        <f t="shared" si="21"/>
        <v>1.1274655714864346</v>
      </c>
      <c r="CF83" s="304">
        <f t="shared" si="17"/>
        <v>189.37394938216795</v>
      </c>
      <c r="CG83" s="304">
        <f t="shared" si="17"/>
        <v>22.911711077706475</v>
      </c>
      <c r="CH83" s="304">
        <f t="shared" si="17"/>
        <v>36.924497466180739</v>
      </c>
      <c r="CI83" s="304">
        <f t="shared" si="17"/>
        <v>3.7045297348839989</v>
      </c>
      <c r="CJ83" s="304">
        <f t="shared" si="17"/>
        <v>4.0266627553086951E-2</v>
      </c>
      <c r="CK83" s="304">
        <f t="shared" si="17"/>
        <v>11.194122459758171</v>
      </c>
      <c r="CL83" s="304">
        <f t="shared" si="17"/>
        <v>122.5716142715967</v>
      </c>
      <c r="CM83" s="304">
        <f t="shared" si="17"/>
        <v>0.60399941329630435</v>
      </c>
      <c r="CN83" s="304">
        <f t="shared" si="17"/>
        <v>12.16052152103226</v>
      </c>
      <c r="CO83" s="304">
        <f t="shared" si="17"/>
        <v>0.92613243372099974</v>
      </c>
      <c r="CP83" s="304">
        <f t="shared" si="17"/>
        <v>0.40266627553086953</v>
      </c>
      <c r="CQ83" s="304">
        <f t="shared" si="17"/>
        <v>0.72479929595556514</v>
      </c>
      <c r="CR83" s="304">
        <f t="shared" si="17"/>
        <v>402.66627553086954</v>
      </c>
      <c r="CS83" s="305">
        <f t="shared" si="22"/>
        <v>0</v>
      </c>
      <c r="CV83" s="265"/>
      <c r="CW83" s="265" t="s">
        <v>716</v>
      </c>
      <c r="CX83" s="267">
        <f>INDEX($M$77:$Z$85,MATCH($CW83,$L$77:$L$85,0),MATCH(CX$78,$M$78:$Z$78,0))/INDEX(고양시_재차인원!$D$4:$H$35,MATCH("고양시",고양시_재차인원!$B$4:$B$35,0),MATCH($CX$77,고양시_재차인원!$D$4:$H$4,0))</f>
        <v>19.534843353111995</v>
      </c>
      <c r="CY83" s="267">
        <f>INDEX($M$77:$Z$85,MATCH($CW83,$L$77:$L$85,0),MATCH(CY$78,$M$78:$Z$78,0))/INDEX(고양시_재차인원!$K$4:$O$20,MATCH("경기도",고양시_재차인원!$K$4:$K$20,0),MATCH(CY$78,고양시_재차인원!$K$4:$O$4,0))</f>
        <v>1.6158882094861619E-4</v>
      </c>
      <c r="CZ83" s="267">
        <f>INDEX($M$77:$Z$85,MATCH($CW83,$L$77:$L$85,0),MATCH(CZ$78,$M$78:$Z$78,0))/INDEX(고양시_재차인원!$K$4:$O$20,MATCH("경기도",고양시_재차인원!$K$4:$K$20,0),MATCH(CZ$78,고양시_재차인원!$K$4:$O$4,0))</f>
        <v>4.4921692223715295E-2</v>
      </c>
      <c r="DA83" s="267">
        <f>INDEX($M$77:$Z$85,MATCH($CW83,$L$77:$L$85,0),MATCH(DA$78,$M$78:$Z$78,0))/INDEX(고양시_재차인원!$D$4:$H$35,MATCH("고양시",고양시_재차인원!$B$4:$B$35,0),MATCH($CX$77,고양시_재차인원!$D$4:$H$4,0))</f>
        <v>1.254416902538767</v>
      </c>
      <c r="DB83" s="267">
        <f>INDEX($AA$77:$AN$85,MATCH($CW83,$L$77:$L$85,0),MATCH(DB$78,$AA$78:$AN$78,0))/INDEX(고양시_재차인원!$D$4:$H$35,MATCH("고양시",고양시_재차인원!$B$4:$B$35,0),MATCH($DB$77,고양시_재차인원!$D$4:$H$4,0))</f>
        <v>112.29998351498843</v>
      </c>
      <c r="DC83" s="267">
        <f>INDEX($AA$77:$AN$85,MATCH($CW83,$L$77:$L$85,0),MATCH(DC$78,$AA$78:$AN$78,0))/INDEX(고양시_재차인원!$K$4:$O$20,MATCH("경기도",고양시_재차인원!$K$4:$K$20,0),MATCH(DC$78,고양시_재차인원!$K$4:$O$4,0))</f>
        <v>1.1694513553211783E-3</v>
      </c>
      <c r="DD83" s="267">
        <f>INDEX($AA$77:$AN$85,MATCH($CW83,$L$77:$L$85,0),MATCH(DD$78,$AA$78:$AN$78,0))/INDEX(고양시_재차인원!$K$4:$O$20,MATCH("경기도",고양시_재차인원!$K$4:$K$20,0),MATCH(DD$78,고양시_재차인원!$K$4:$O$4,0))</f>
        <v>0.32510747677928747</v>
      </c>
      <c r="DE83" s="267">
        <f>INDEX($AA$77:$AN$85,MATCH($CW83,$L$77:$L$85,0),MATCH(DE$78,$AA$78:$AN$78,0))/INDEX(고양시_재차인원!$D$4:$H$35,MATCH("고양시",고양시_재차인원!$B$4:$B$35,0),MATCH($DB$77,고양시_재차인원!$D$4:$H$4,0))</f>
        <v>7.2112683439350418</v>
      </c>
      <c r="DF83" s="267">
        <f>INDEX($AO$77:$BB$85,MATCH($CW83,$L$77:$L$85,0),MATCH(DF$78,$AO$78:$BB$78,0))/INDEX(고양시_재차인원!$D$4:$H$35,MATCH("고양시",고양시_재차인원!$B$4:$B$35,0),MATCH($DF$77,고양시_재차인원!$D$4:$H$4,0))</f>
        <v>6.9874958805536922</v>
      </c>
      <c r="DG83" s="267">
        <f>INDEX($AO$77:$BB$85,MATCH($CW83,$L$77:$L$85,0),MATCH(DG$78,$AO$78:$BB$78,0))/INDEX(고양시_재차인원!$K$4:$O$20,MATCH("경기도",고양시_재차인원!$K$4:$K$20,0),MATCH(DG$78,고양시_재차인원!$K$4:$O$4,0))</f>
        <v>6.7088529619597207E-5</v>
      </c>
      <c r="DH83" s="267">
        <f>INDEX($AO$77:$BB$85,MATCH($CW83,$L$77:$L$85,0),MATCH(DH$78,$AO$78:$BB$78,0))/INDEX(고양시_재차인원!$K$4:$O$20,MATCH("경기도",고양시_재차인원!$K$4:$K$20,0),MATCH(DH$78,고양시_재차인원!$K$4:$O$4,0))</f>
        <v>1.8650611234248021E-2</v>
      </c>
      <c r="DI83" s="267">
        <f>INDEX($AO$77:$BB$85,MATCH($CW83,$L$77:$L$85,0),MATCH(DI$78,$AO$78:$BB$78,0))/INDEX(고양시_재차인원!$D$4:$H$35,MATCH("고양시",고양시_재차인원!$B$4:$B$35,0),MATCH($DF$77,고양시_재차인원!$D$4:$H$4,0))</f>
        <v>0.44869737527689035</v>
      </c>
      <c r="DJ83" s="267">
        <f>INDEX($BC$77:$BP$85,MATCH($CW83,$L$77:$L$85,0),MATCH(DJ$78,$BC$78:$BP$78,0))/INDEX(고양시_재차인원!$D$4:$H$35,MATCH("고양시",고양시_재차인원!$B$4:$B$35,0),MATCH($DJ$77,고양시_재차인원!$D$4:$H$4,0))</f>
        <v>1.0496423263704219E-2</v>
      </c>
      <c r="DK83" s="267">
        <f>INDEX($BC$77:$BP$85,MATCH($CW83,$L$77:$L$85,0),MATCH(DK$78,$BC$78:$BP$78,0))/INDEX(고양시_재차인원!$K$4:$O$20,MATCH("경기도",고양시_재차인원!$K$4:$K$20,0),MATCH(DK$78,고양시_재차인원!$K$4:$O$4,0))</f>
        <v>1.0542985272854476E-7</v>
      </c>
      <c r="DL83" s="267">
        <f>INDEX($BC$77:$BP$85,MATCH($CW83,$L$77:$L$85,0),MATCH(DL$78,$BC$78:$BP$78,0))/INDEX(고양시_재차인원!$K$4:$O$20,MATCH("경기도",고양시_재차인원!$K$4:$K$20,0),MATCH(DL$78,고양시_재차인원!$K$4:$O$4,0))</f>
        <v>2.9309499058535437E-5</v>
      </c>
      <c r="DM83" s="267">
        <f>INDEX($BC$77:$BP$85,MATCH($CW83,$L$77:$L$85,0),MATCH(DM$78,$BC$78:$BP$78,0))/INDEX(고양시_재차인원!$D$4:$H$35,MATCH("고양시",고양시_재차인원!$B$4:$B$35,0),MATCH($DJ$77,고양시_재차인원!$D$4:$H$4,0))</f>
        <v>6.7402080068864007E-4</v>
      </c>
      <c r="DN83" s="267">
        <f>INDEX($BQ$77:$CD$85,MATCH($CW83,$L$77:$L$85,0),MATCH(DN$78,$BQ$78:$CD$78,0))/INDEX(고양시_재차인원!$D$4:$H$35,MATCH("고양시",고양시_재차인원!$B$4:$B$35,0),MATCH($DN$77,고양시_재차인원!$D$4:$H$4,0))</f>
        <v>4.2800230309848579E-2</v>
      </c>
      <c r="DO83" s="267">
        <f>INDEX($BQ$77:$CD$85,MATCH($CW83,$L$77:$L$85,0),MATCH(DO$78,$BQ$78:$CD$78,0))/INDEX(고양시_재차인원!$K$4:$O$20,MATCH("경기도",고양시_재차인원!$K$4:$K$20,0),MATCH(DO$78,고양시_재차인원!$K$4:$O$4,0))</f>
        <v>3.9829055475227987E-7</v>
      </c>
      <c r="DP83" s="267">
        <f>INDEX($BQ$77:$CD$85,MATCH($CW83,$L$77:$L$85,0),MATCH(DP$78,$BQ$78:$CD$78,0))/INDEX(고양시_재차인원!$K$4:$O$20,MATCH("경기도",고양시_재차인원!$K$4:$K$20,0),MATCH(DP$78,고양시_재차인원!$K$4:$O$4,0))</f>
        <v>1.107247742211338E-4</v>
      </c>
      <c r="DQ83" s="267">
        <f>INDEX($BQ$77:$CD$85,MATCH($CW83,$L$77:$L$85,0),MATCH(DQ$78,$BQ$78:$CD$78,0))/INDEX(고양시_재차인원!$D$4:$H$35,MATCH("고양시",고양시_재차인원!$B$4:$B$35,0),MATCH($DN$77,고양시_재차인원!$D$4:$H$4,0))</f>
        <v>2.7483881678873633E-3</v>
      </c>
      <c r="DR83" s="270">
        <f t="shared" si="23"/>
        <v>138.87561940222767</v>
      </c>
      <c r="DS83" s="270">
        <f t="shared" si="18"/>
        <v>1.3986324262968725E-3</v>
      </c>
      <c r="DT83" s="270">
        <f t="shared" si="18"/>
        <v>0.38881981451053049</v>
      </c>
      <c r="DU83" s="270">
        <f t="shared" si="18"/>
        <v>8.9178050307192755</v>
      </c>
      <c r="DW83" s="278"/>
      <c r="DX83" s="278" t="s">
        <v>716</v>
      </c>
      <c r="DY83" s="281">
        <f t="shared" si="24"/>
        <v>147.79342443294695</v>
      </c>
      <c r="DZ83" s="281">
        <f t="shared" si="25"/>
        <v>0.39021844693682739</v>
      </c>
      <c r="EB83" s="278"/>
      <c r="EC83" s="278" t="s">
        <v>673</v>
      </c>
      <c r="ED83" s="281">
        <f t="shared" si="26"/>
        <v>147.79342443294695</v>
      </c>
      <c r="EE83" s="281">
        <f t="shared" si="19"/>
        <v>0.39021844693682739</v>
      </c>
      <c r="FE83" t="s">
        <v>12</v>
      </c>
      <c r="FF83" t="s">
        <v>360</v>
      </c>
      <c r="FG83">
        <v>6559.1377000000002</v>
      </c>
      <c r="FH83" s="277" t="e">
        <f t="shared" si="27"/>
        <v>#DIV/0!</v>
      </c>
    </row>
    <row r="84" spans="1:164" ht="37.5">
      <c r="A84" s="205"/>
      <c r="B84" s="205" t="s">
        <v>720</v>
      </c>
      <c r="C84" s="400">
        <f>$D13*KTDB_TripDistribution_2045!T$12 * (1+KTDB_발생량도착량_증가율!$C$7) * (1+KTDB_발생량도착량_증가율!$D$8*5) * (1+KTDB_발생량도착량_증가율!$E$8*5) * (1+KTDB_발생량도착량_증가율!$F$8*5) * (1+KTDB_발생량도착량_증가율!$G$8*5)</f>
        <v>5.3969166532606261</v>
      </c>
      <c r="D84" s="400">
        <f>$D13*KTDB_TripDistribution_2045!U$12 * (1+KTDB_발생량도착량_증가율!$C$7) * (1+KTDB_발생량도착량_증가율!$D$8*5) * (1+KTDB_발생량도착량_증가율!$E$8*5) * (1+KTDB_발생량도착량_증가율!$F$8*5) * (1+KTDB_발생량도착량_증가율!$G$8*5)</f>
        <v>39.058589930042587</v>
      </c>
      <c r="E84" s="400">
        <f>$D13*KTDB_TripDistribution_2045!V$12 * (1+KTDB_발생량도착량_증가율!$C$7) * (1+KTDB_발생량도착량_증가율!$D$8*5) * (1+KTDB_발생량도착량_증가율!$E$8*5) * (1+KTDB_발생량도착량_증가율!$F$8*5) * (1+KTDB_발생량도착량_증가율!$G$8*5)</f>
        <v>2.2406946261580081</v>
      </c>
      <c r="F84" s="400">
        <f>$D13*KTDB_TripDistribution_2045!W$12 * (1+KTDB_발생량도착량_증가율!$C$7) * (1+KTDB_발생량도착량_증가율!$D$8*5) * (1+KTDB_발생량도착량_증가율!$E$8*5) * (1+KTDB_발생량도착량_증가율!$F$8*5) * (1+KTDB_발생량도착량_증가율!$G$8*5)</f>
        <v>3.5212592344023245E-3</v>
      </c>
      <c r="G84" s="400">
        <f>$D13*KTDB_TripDistribution_2045!X$12 * (1+KTDB_발생량도착량_증가율!$C$7) * (1+KTDB_발생량도착량_증가율!$D$8*5) * (1+KTDB_발생량도착량_증가율!$E$8*5) * (1+KTDB_발생량도착량_증가율!$F$8*5) * (1+KTDB_발생량도착량_증가율!$G$8*5)</f>
        <v>1.3302534885519881E-2</v>
      </c>
      <c r="H84" s="400">
        <f>$D13*KTDB_TripDistribution_2045!Y$12 * (1+KTDB_발생량도착량_증가율!$C$7) * (1+KTDB_발생량도착량_증가율!$D$8*5) * (1+KTDB_발생량도착량_증가율!$E$8*5) * (1+KTDB_발생량도착량_증가율!$F$8*5) * (1+KTDB_발생량도착량_증가율!$G$8*5)</f>
        <v>46.713025003581144</v>
      </c>
      <c r="K84" s="206"/>
      <c r="L84" s="206" t="s">
        <v>720</v>
      </c>
      <c r="M84" s="206">
        <f>INDEX($A$78:$H$85,MATCH($L84,$B$78:$B$85,0),MATCH($M$77,$A$78:$H$78,0))*고양시_Modal_split!C$3 * 0.01</f>
        <v>1.5111366629129753E-2</v>
      </c>
      <c r="N84" s="206">
        <f>INDEX($A$78:$H$85,MATCH($L84,$B$78:$B$85,0),MATCH($M$77,$A$78:$H$78,0))*고양시_Modal_split!D$3 * 0.01</f>
        <v>2.5381699020284727</v>
      </c>
      <c r="O84" s="206">
        <f>INDEX($A$78:$H$85,MATCH($L84,$B$78:$B$85,0),MATCH($M$77,$A$78:$H$78,0))*고양시_Modal_split!E$3 * 0.01</f>
        <v>0.3070845575705296</v>
      </c>
      <c r="P84" s="206">
        <f>INDEX($A$78:$H$85,MATCH($L84,$B$78:$B$85,0),MATCH($M$77,$A$78:$H$78,0))*고양시_Modal_split!F$3 * 0.01</f>
        <v>0.4948972571039994</v>
      </c>
      <c r="Q84" s="206">
        <f>INDEX($A$78:$H$85,MATCH($L84,$B$78:$B$85,0),MATCH($M$77,$A$78:$H$78,0))*고양시_Modal_split!G$3 * 0.01</f>
        <v>4.9651633209997756E-2</v>
      </c>
      <c r="R84" s="206">
        <f>INDEX($A$78:$H$85,MATCH($L84,$B$78:$B$85,0),MATCH($M$77,$A$78:$H$78,0))*고양시_Modal_split!H$3 * 0.01</f>
        <v>5.396916653260626E-4</v>
      </c>
      <c r="S84" s="206">
        <f>INDEX($A$78:$H$85,MATCH($L84,$B$78:$B$85,0),MATCH($M$77,$A$78:$H$78,0))*고양시_Modal_split!I$3 * 0.01</f>
        <v>0.15003428296064539</v>
      </c>
      <c r="T84" s="206">
        <f>INDEX($A$78:$H$85,MATCH($L84,$B$78:$B$85,0),MATCH($M$77,$A$78:$H$78,0))*고양시_Modal_split!J$3 * 0.01</f>
        <v>1.6428214292525345</v>
      </c>
      <c r="U84" s="206">
        <f>INDEX($A$78:$H$85,MATCH($L84,$B$78:$B$85,0),MATCH($M$77,$A$78:$H$78,0))*고양시_Modal_split!K$3 * 0.01</f>
        <v>8.0953749798909399E-3</v>
      </c>
      <c r="V84" s="206">
        <f>INDEX($A$78:$H$85,MATCH($L84,$B$78:$B$85,0),MATCH($M$77,$A$78:$H$78,0))*고양시_Modal_split!L$3 * 0.01</f>
        <v>0.16298688292847094</v>
      </c>
      <c r="W84" s="206">
        <f>INDEX($A$78:$H$85,MATCH($L84,$B$78:$B$85,0),MATCH($M$77,$A$78:$H$78,0))*고양시_Modal_split!M$3 * 0.01</f>
        <v>1.2412908302499439E-2</v>
      </c>
      <c r="X84" s="206">
        <f>INDEX($A$78:$H$85,MATCH($L84,$B$78:$B$85,0),MATCH($M$77,$A$78:$H$78,0))*고양시_Modal_split!N$3 * 0.01</f>
        <v>5.396916653260626E-3</v>
      </c>
      <c r="Y84" s="206">
        <f>INDEX($A$78:$H$85,MATCH($L84,$B$78:$B$85,0),MATCH($M$77,$A$78:$H$78,0))*고양시_Modal_split!O$3 * 0.01</f>
        <v>9.7144499758691268E-3</v>
      </c>
      <c r="Z84" s="209">
        <f>INDEX($A$78:$H$85,MATCH($L84,$B$78:$B$85,0),MATCH($M$77,$A$78:$H$78,0))*고양시_Modal_split!P$3 * 0.01</f>
        <v>5.396916653260627</v>
      </c>
      <c r="AA84" s="207">
        <f>INDEX($A$78:$H$85,MATCH($L84,$B$78:$B$85,0),MATCH($AA$77,$A$78:$H$78,0))*고양시_Modal_split!C$3 * 0.01</f>
        <v>0.10936405180411923</v>
      </c>
      <c r="AB84" s="207">
        <f>INDEX($A$78:$H$85,MATCH($L84,$B$78:$B$85,0),MATCH($AA$77,$A$78:$H$78,0))*고양시_Modal_split!D$3 * 0.01</f>
        <v>18.369254844099029</v>
      </c>
      <c r="AC84" s="207">
        <f>INDEX($A$78:$H$85,MATCH($L84,$B$78:$B$85,0),MATCH($AA$77,$A$78:$H$78,0))*고양시_Modal_split!E$3 * 0.01</f>
        <v>2.2224337670194232</v>
      </c>
      <c r="AD84" s="207">
        <f>INDEX($A$78:$H$85,MATCH($L84,$B$78:$B$85,0),MATCH($AA$77,$A$78:$H$78,0))*고양시_Modal_split!F$3 * 0.01</f>
        <v>3.5816726965849051</v>
      </c>
      <c r="AE84" s="207">
        <f>INDEX($A$78:$H$85,MATCH($L84,$B$78:$B$85,0),MATCH($AA$77,$A$78:$H$78,0))*고양시_Modal_split!G$3 * 0.01</f>
        <v>0.35933902735639178</v>
      </c>
      <c r="AF84" s="207">
        <f>INDEX($A$78:$H$85,MATCH($L84,$B$78:$B$85,0),MATCH($AA$77,$A$78:$H$78,0))*고양시_Modal_split!H$3 * 0.01</f>
        <v>3.9058589930042586E-3</v>
      </c>
      <c r="AG84" s="207">
        <f>INDEX($A$78:$H$85,MATCH($L84,$B$78:$B$85,0),MATCH($AA$77,$A$78:$H$78,0))*고양시_Modal_split!I$3 * 0.01</f>
        <v>1.0858288000551839</v>
      </c>
      <c r="AH84" s="207">
        <f>INDEX($A$78:$H$85,MATCH($L84,$B$78:$B$85,0),MATCH($AA$77,$A$78:$H$78,0))*고양시_Modal_split!J$3 * 0.01</f>
        <v>11.889434774704965</v>
      </c>
      <c r="AI84" s="207">
        <f>INDEX($A$78:$H$85,MATCH($L84,$B$78:$B$85,0),MATCH($AA$77,$A$78:$H$78,0))*고양시_Modal_split!K$3 * 0.01</f>
        <v>5.8587884895063884E-2</v>
      </c>
      <c r="AJ84" s="207">
        <f>INDEX($A$78:$H$85,MATCH($L84,$B$78:$B$85,0),MATCH($AA$77,$A$78:$H$78,0))*고양시_Modal_split!L$3 * 0.01</f>
        <v>1.179569415887286</v>
      </c>
      <c r="AK84" s="207">
        <f>INDEX($A$78:$H$85,MATCH($L84,$B$78:$B$85,0),MATCH($AA$77,$A$78:$H$78,0))*고양시_Modal_split!M$3 * 0.01</f>
        <v>8.9834756839097946E-2</v>
      </c>
      <c r="AL84" s="207">
        <f>INDEX($A$78:$H$85,MATCH($L84,$B$78:$B$85,0),MATCH($AA$77,$A$78:$H$78,0))*고양시_Modal_split!N$3 * 0.01</f>
        <v>3.9058589930042589E-2</v>
      </c>
      <c r="AM84" s="207">
        <f>INDEX($A$78:$H$85,MATCH($L84,$B$78:$B$85,0),MATCH($AA$77,$A$78:$H$78,0))*고양시_Modal_split!O$3 * 0.01</f>
        <v>7.0305461874076658E-2</v>
      </c>
      <c r="AN84" s="207">
        <f>INDEX($A$78:$H$85,MATCH($L84,$B$78:$B$85,0),MATCH($AA$77,$A$78:$H$78,0))*고양시_Modal_split!P$3 * 0.01</f>
        <v>39.058589930042587</v>
      </c>
      <c r="AO84" s="303">
        <f>INDEX($A$78:$H$85,MATCH($L41,$B$78:$B$85,0),MATCH($AO$77,$A$78:$H$78,0))*고양시_Modal_split!C$3 * 0.01</f>
        <v>6.2739449532424217E-3</v>
      </c>
      <c r="AP84" s="303">
        <f>INDEX($A$78:$H$85,MATCH($L41,$B$78:$B$85,0),MATCH($AO$77,$A$78:$H$78,0))*고양시_Modal_split!D$3 * 0.01</f>
        <v>1.0537986826821113</v>
      </c>
      <c r="AQ84" s="303">
        <f>INDEX($A$78:$H$85,MATCH($L41,$B$78:$B$85,0),MATCH($AO$77,$A$78:$H$78,0))*고양시_Modal_split!E$3 * 0.01</f>
        <v>0.12749552422839064</v>
      </c>
      <c r="AR84" s="303">
        <f>INDEX($A$78:$H$85,MATCH($L41,$B$78:$B$85,0),MATCH($AO$77,$A$78:$H$78,0))*고양시_Modal_split!F$3 * 0.01</f>
        <v>0.20547169721868933</v>
      </c>
      <c r="AS84" s="303">
        <f>INDEX($A$78:$H$85,MATCH($L41,$B$78:$B$85,0),MATCH($AO$77,$A$78:$H$78,0))*고양시_Modal_split!G$3 * 0.01</f>
        <v>2.0614390560653676E-2</v>
      </c>
      <c r="AT84" s="303">
        <f>INDEX($A$78:$H$85,MATCH($L41,$B$78:$B$85,0),MATCH($AO$77,$A$78:$H$78,0))*고양시_Modal_split!H$3 * 0.01</f>
        <v>2.2406946261580081E-4</v>
      </c>
      <c r="AU84" s="303">
        <f>INDEX($A$78:$H$85,MATCH($L41,$B$78:$B$85,0),MATCH($AO$77,$A$78:$H$78,0))*고양시_Modal_split!I$3 * 0.01</f>
        <v>6.2291310607192625E-2</v>
      </c>
      <c r="AV84" s="303">
        <f>INDEX($A$78:$H$85,MATCH($L41,$B$78:$B$85,0),MATCH($AO$77,$A$78:$H$78,0))*고양시_Modal_split!J$3 * 0.01</f>
        <v>0.68206744420249765</v>
      </c>
      <c r="AW84" s="303">
        <f>INDEX($A$78:$H$85,MATCH($L41,$B$78:$B$85,0),MATCH($AO$77,$A$78:$H$78,0))*고양시_Modal_split!K$3 * 0.01</f>
        <v>3.3610419392370123E-3</v>
      </c>
      <c r="AX84" s="303">
        <f>INDEX($A$78:$H$85,MATCH($L41,$B$78:$B$85,0),MATCH($AO$77,$A$78:$H$78,0))*고양시_Modal_split!L$3 * 0.01</f>
        <v>6.766897770997185E-2</v>
      </c>
      <c r="AY84" s="303">
        <f>INDEX($A$78:$H$85,MATCH($L41,$B$78:$B$85,0),MATCH($AO$77,$A$78:$H$78,0))*고양시_Modal_split!M$3 * 0.01</f>
        <v>5.153597640163419E-3</v>
      </c>
      <c r="AZ84" s="303">
        <f>INDEX($A$78:$H$85,MATCH($L41,$B$78:$B$85,0),MATCH($AO$77,$A$78:$H$78,0))*고양시_Modal_split!N$3 * 0.01</f>
        <v>2.2406946261580084E-3</v>
      </c>
      <c r="BA84" s="207">
        <f>INDEX($A$78:$H$85,MATCH($L41,$B$78:$B$85,0),MATCH($AO$77,$A$78:$H$78,0))*고양시_Modal_split!O$3 * 0.01</f>
        <v>4.0332503270844146E-3</v>
      </c>
      <c r="BB84" s="207">
        <f>INDEX($A$78:$H$85,MATCH($L41,$B$78:$B$85,0),MATCH($AO$77,$A$78:$H$78,0))*고양시_Modal_split!P$3 * 0.01</f>
        <v>2.2406946261580081</v>
      </c>
      <c r="BC84" s="207">
        <f>INDEX($A$78:$H$85,MATCH($L84,$B$78:$B$85,0),MATCH($BC$77,$A$78:$H$78,0))*고양시_Modal_split!C$3 * 0.01</f>
        <v>9.8595258563265075E-6</v>
      </c>
      <c r="BD84" s="207">
        <f>INDEX($A$78:$H$85,MATCH($L84,$B$78:$B$85,0),MATCH($BC$77,$A$78:$H$78,0))*고양시_Modal_split!D$3 * 0.01</f>
        <v>1.6560482179394133E-3</v>
      </c>
      <c r="BE84" s="207">
        <f>INDEX($A$78:$H$85,MATCH($L84,$B$78:$B$85,0),MATCH($BC$77,$A$78:$H$78,0))*고양시_Modal_split!E$3 * 0.01</f>
        <v>2.0035965043749228E-4</v>
      </c>
      <c r="BF84" s="207">
        <f>INDEX($A$78:$H$85,MATCH($L84,$B$78:$B$85,0),MATCH($BC$77,$A$78:$H$78,0))*고양시_Modal_split!F$3 * 0.01</f>
        <v>3.2289947179469313E-4</v>
      </c>
      <c r="BG84" s="207">
        <f>INDEX($A$78:$H$85,MATCH($L84,$B$78:$B$85,0),MATCH($BC$77,$A$78:$H$78,0))*고양시_Modal_split!G$3 * 0.01</f>
        <v>3.239558495650138E-5</v>
      </c>
      <c r="BH84" s="207">
        <f>INDEX($A$78:$H$85,MATCH($L84,$B$78:$B$85,0),MATCH($BC$77,$A$78:$H$78,0))*고양시_Modal_split!H$3 * 0.01</f>
        <v>3.5212592344023246E-7</v>
      </c>
      <c r="BI84" s="207">
        <f>INDEX($A$78:$H$85,MATCH($L84,$B$78:$B$85,0),MATCH($BC$77,$A$78:$H$78,0))*고양시_Modal_split!I$3 * 0.01</f>
        <v>9.7891006716384625E-5</v>
      </c>
      <c r="BJ84" s="207">
        <f>INDEX($A$78:$H$85,MATCH($L84,$B$78:$B$85,0),MATCH($BC$77,$A$78:$H$78,0))*고양시_Modal_split!J$3 * 0.01</f>
        <v>1.0718713109520678E-3</v>
      </c>
      <c r="BK84" s="207">
        <f>INDEX($A$78:$H$85,MATCH($L84,$B$78:$B$85,0),MATCH($BC$77,$A$78:$H$78,0))*고양시_Modal_split!K$3 * 0.01</f>
        <v>5.2818888516034861E-6</v>
      </c>
      <c r="BL84" s="207">
        <f>INDEX($A$78:$H$85,MATCH($L84,$B$78:$B$85,0),MATCH($BC$77,$A$78:$H$78,0))*고양시_Modal_split!L$3 * 0.01</f>
        <v>1.0634202887895021E-4</v>
      </c>
      <c r="BM84" s="207">
        <f>INDEX($A$78:$H$85,MATCH($L84,$B$78:$B$85,0),MATCH($BC$77,$A$78:$H$78,0))*고양시_Modal_split!M$3 * 0.01</f>
        <v>8.0988962391253449E-6</v>
      </c>
      <c r="BN84" s="207">
        <f>INDEX($A$78:$H$85,MATCH($L84,$B$78:$B$85,0),MATCH($BC$77,$A$78:$H$78,0))*고양시_Modal_split!N$3 * 0.01</f>
        <v>3.5212592344023252E-6</v>
      </c>
      <c r="BO84" s="207">
        <f>INDEX($A$78:$H$85,MATCH($L84,$B$78:$B$85,0),MATCH($BC$77,$A$78:$H$78,0))*고양시_Modal_split!O$3 * 0.01</f>
        <v>6.338266621924184E-6</v>
      </c>
      <c r="BP84" s="207">
        <f>INDEX($A$78:$H$85,MATCH($L84,$B$78:$B$85,0),MATCH($BC$77,$A$78:$H$78,0))*고양시_Modal_split!P$3 * 0.01</f>
        <v>3.5212592344023249E-3</v>
      </c>
      <c r="BQ84" s="207">
        <f>INDEX($A$78:$H$85,MATCH($L41,$B$78:$B$85,0),MATCH($BQ$77,$A$78:$H$78,0))*고양시_Modal_split!C$3 * 0.01</f>
        <v>3.7247097679455661E-5</v>
      </c>
      <c r="BR84" s="207">
        <f>INDEX($A$78:$H$85,MATCH($L41,$B$78:$B$85,0),MATCH($BQ$77,$A$78:$H$78,0))*고양시_Modal_split!D$3 * 0.01</f>
        <v>6.2561821566600008E-3</v>
      </c>
      <c r="BS84" s="207">
        <f>INDEX($A$78:$H$85,MATCH($L41,$B$78:$B$85,0),MATCH($BQ$77,$A$78:$H$78,0))*고양시_Modal_split!E$3 * 0.01</f>
        <v>7.5691423498608118E-4</v>
      </c>
      <c r="BT84" s="207">
        <f>INDEX($A$78:$H$85,MATCH($L41,$B$78:$B$85,0),MATCH($BQ$77,$A$78:$H$78,0))*고양시_Modal_split!F$3 * 0.01</f>
        <v>1.2198424490021732E-3</v>
      </c>
      <c r="BU84" s="207">
        <f>INDEX($A$78:$H$85,MATCH($L41,$B$78:$B$85,0),MATCH($BQ$77,$A$78:$H$78,0))*고양시_Modal_split!G$3 * 0.01</f>
        <v>1.223833209467829E-4</v>
      </c>
      <c r="BV84" s="207">
        <f>INDEX($A$78:$H$85,MATCH($L41,$B$78:$B$85,0),MATCH($BQ$77,$A$78:$H$78,0))*고양시_Modal_split!H$3 * 0.01</f>
        <v>1.3302534885519881E-6</v>
      </c>
      <c r="BW84" s="207">
        <f>INDEX($A$78:$H$85,MATCH($L41,$B$78:$B$85,0),MATCH($BQ$77,$A$78:$H$78,0))*고양시_Modal_split!I$3 * 0.01</f>
        <v>3.6981046981745267E-4</v>
      </c>
      <c r="BX84" s="207">
        <f>INDEX($A$78:$H$85,MATCH($L41,$B$78:$B$85,0),MATCH($BQ$77,$A$78:$H$78,0))*고양시_Modal_split!J$3 * 0.01</f>
        <v>4.049291619152252E-3</v>
      </c>
      <c r="BY84" s="207">
        <f>INDEX($A$78:$H$85,MATCH($L41,$B$78:$B$85,0),MATCH($BQ$77,$A$78:$H$78,0))*고양시_Modal_split!K$3 * 0.01</f>
        <v>1.995380232827982E-5</v>
      </c>
      <c r="BZ84" s="207">
        <f>INDEX($A$78:$H$85,MATCH($L41,$B$78:$B$85,0),MATCH($BQ$77,$A$78:$H$78,0))*고양시_Modal_split!L$3 * 0.01</f>
        <v>4.0173655354270042E-4</v>
      </c>
      <c r="CA84" s="207">
        <f>INDEX($A$78:$H$85,MATCH($L41,$B$78:$B$85,0),MATCH($BQ$77,$A$78:$H$78,0))*고양시_Modal_split!M$3 * 0.01</f>
        <v>3.0595830236695725E-5</v>
      </c>
      <c r="CB84" s="207">
        <f>INDEX($A$78:$H$85,MATCH($L41,$B$78:$B$85,0),MATCH($BQ$77,$A$78:$H$78,0))*고양시_Modal_split!N$3 * 0.01</f>
        <v>1.3302534885519881E-5</v>
      </c>
      <c r="CC84" s="207">
        <f>INDEX($A$78:$H$85,MATCH($L41,$B$78:$B$85,0),MATCH($BQ$77,$A$78:$H$78,0))*고양시_Modal_split!O$3 * 0.01</f>
        <v>2.3944562793935786E-5</v>
      </c>
      <c r="CD84" s="207">
        <f>INDEX($A$78:$H$85,MATCH($L41,$B$78:$B$85,0),MATCH($BQ$77,$A$78:$H$78,0))*고양시_Modal_split!P$3 * 0.01</f>
        <v>1.3302534885519881E-2</v>
      </c>
      <c r="CE84" s="304">
        <f t="shared" si="21"/>
        <v>0.1307964700100272</v>
      </c>
      <c r="CF84" s="304">
        <f t="shared" si="17"/>
        <v>21.969135659184207</v>
      </c>
      <c r="CG84" s="304">
        <f t="shared" si="17"/>
        <v>2.6579711227037666</v>
      </c>
      <c r="CH84" s="304">
        <f t="shared" si="17"/>
        <v>4.2835843928283905</v>
      </c>
      <c r="CI84" s="304">
        <f t="shared" si="17"/>
        <v>0.42975983003294649</v>
      </c>
      <c r="CJ84" s="304">
        <f t="shared" si="17"/>
        <v>4.6713025003581148E-3</v>
      </c>
      <c r="CK84" s="304">
        <f t="shared" si="17"/>
        <v>1.298622095099556</v>
      </c>
      <c r="CL84" s="304">
        <f t="shared" si="17"/>
        <v>14.219444811090099</v>
      </c>
      <c r="CM84" s="304">
        <f t="shared" si="17"/>
        <v>7.0069537505371718E-2</v>
      </c>
      <c r="CN84" s="304">
        <f t="shared" si="17"/>
        <v>1.4107333551081505</v>
      </c>
      <c r="CO84" s="304">
        <f t="shared" si="17"/>
        <v>0.10743995750823662</v>
      </c>
      <c r="CP84" s="304">
        <f t="shared" si="17"/>
        <v>4.6713025003581148E-2</v>
      </c>
      <c r="CQ84" s="304">
        <f t="shared" si="17"/>
        <v>8.4083445006446059E-2</v>
      </c>
      <c r="CR84" s="304">
        <f t="shared" si="17"/>
        <v>46.713025003581144</v>
      </c>
      <c r="CS84" s="305">
        <f t="shared" si="22"/>
        <v>0</v>
      </c>
      <c r="CV84" s="267"/>
      <c r="CW84" s="267" t="s">
        <v>720</v>
      </c>
      <c r="CX84" s="267">
        <f>INDEX($M$77:$Z$85,MATCH($CW84,$L$77:$L$85,0),MATCH(CX$78,$M$78:$Z$78,0))/INDEX(고양시_재차인원!$D$4:$H$35,MATCH("고양시",고양시_재차인원!$B$4:$B$35,0),MATCH($CX$77,고양시_재차인원!$D$4:$H$4,0))</f>
        <v>2.2662231268111359</v>
      </c>
      <c r="CY84" s="267">
        <f>INDEX($M$77:$Z$85,MATCH($CW84,$L$77:$L$85,0),MATCH(CY$78,$M$78:$Z$78,0))/INDEX(고양시_재차인원!$K$4:$O$20,MATCH("경기도",고양시_재차인원!$K$4:$K$20,0),MATCH(CY$78,고양시_재차인원!$K$4:$O$4,0))</f>
        <v>1.8745802894271017E-5</v>
      </c>
      <c r="CZ84" s="267">
        <f>INDEX($M$77:$Z$85,MATCH($CW84,$L$77:$L$85,0),MATCH(CZ$78,$M$78:$Z$78,0))/INDEX(고양시_재차인원!$K$4:$O$20,MATCH("경기도",고양시_재차인원!$K$4:$K$20,0),MATCH(CZ$78,고양시_재차인원!$K$4:$O$4,0))</f>
        <v>5.2113332046073426E-3</v>
      </c>
      <c r="DA84" s="267">
        <f>INDEX($M$77:$Z$85,MATCH($CW84,$L$77:$L$85,0),MATCH(DA$78,$M$78:$Z$78,0))/INDEX(고양시_재차인원!$D$4:$H$35,MATCH("고양시",고양시_재차인원!$B$4:$B$35,0),MATCH($CX$77,고양시_재차인원!$D$4:$H$4,0))</f>
        <v>0.14552400261470619</v>
      </c>
      <c r="DB84" s="267">
        <f>INDEX($AA$77:$AN$85,MATCH($CW84,$L$77:$L$85,0),MATCH(DB$78,$AA$78:$AN$78,0))/INDEX(고양시_재차인원!$D$4:$H$35,MATCH("고양시",고양시_재차인원!$B$4:$B$35,0),MATCH($DB$77,고양시_재차인원!$D$4:$H$4,0))</f>
        <v>13.02784031496385</v>
      </c>
      <c r="DC84" s="267">
        <f>INDEX($AA$77:$AN$85,MATCH($CW84,$L$77:$L$85,0),MATCH(DC$78,$AA$78:$AN$78,0))/INDEX(고양시_재차인원!$K$4:$O$20,MATCH("경기도",고양시_재차인원!$K$4:$K$20,0),MATCH(DC$78,고양시_재차인원!$K$4:$O$4,0))</f>
        <v>1.3566721059410415E-4</v>
      </c>
      <c r="DD84" s="267">
        <f>INDEX($AA$77:$AN$85,MATCH($CW84,$L$77:$L$85,0),MATCH(DD$78,$AA$78:$AN$78,0))/INDEX(고양시_재차인원!$K$4:$O$20,MATCH("경기도",고양시_재차인원!$K$4:$K$20,0),MATCH(DD$78,고양시_재차인원!$K$4:$O$4,0))</f>
        <v>3.7715484545160959E-2</v>
      </c>
      <c r="DE84" s="267">
        <f>INDEX($AA$77:$AN$85,MATCH($CW84,$L$77:$L$85,0),MATCH(DE$78,$AA$78:$AN$78,0))/INDEX(고양시_재차인원!$D$4:$H$35,MATCH("고양시",고양시_재차인원!$B$4:$B$35,0),MATCH($DB$77,고양시_재차인원!$D$4:$H$4,0))</f>
        <v>0.83657405382077032</v>
      </c>
      <c r="DF84" s="267">
        <f>INDEX($AO$77:$BB$85,MATCH($CW84,$L$77:$L$85,0),MATCH(DF$78,$AO$78:$BB$78,0))/INDEX(고양시_재차인원!$D$4:$H$35,MATCH("고양시",고양시_재차인원!$B$4:$B$35,0),MATCH($DF$77,고양시_재차인원!$D$4:$H$4,0))</f>
        <v>0.81061437129393177</v>
      </c>
      <c r="DG84" s="267">
        <f>INDEX($AO$77:$BB$85,MATCH($CW84,$L$77:$L$85,0),MATCH(DG$78,$AO$78:$BB$78,0))/INDEX(고양시_재차인원!$K$4:$O$20,MATCH("경기도",고양시_재차인원!$K$4:$K$20,0),MATCH(DG$78,고양시_재차인원!$K$4:$O$4,0))</f>
        <v>7.7828920672386521E-6</v>
      </c>
      <c r="DH84" s="267">
        <f>INDEX($AO$77:$BB$85,MATCH($CW84,$L$77:$L$85,0),MATCH(DH$78,$AO$78:$BB$78,0))/INDEX(고양시_재차인원!$K$4:$O$20,MATCH("경기도",고양시_재차인원!$K$4:$K$20,0),MATCH(DH$78,고양시_재차인원!$K$4:$O$4,0))</f>
        <v>2.1636439946923457E-3</v>
      </c>
      <c r="DI84" s="267">
        <f>INDEX($AO$77:$BB$85,MATCH($CW84,$L$77:$L$85,0),MATCH(DI$78,$AO$78:$BB$78,0))/INDEX(고양시_재차인원!$D$4:$H$35,MATCH("고양시",고양시_재차인원!$B$4:$B$35,0),MATCH($DF$77,고양시_재차인원!$D$4:$H$4,0))</f>
        <v>5.2053059776901424E-2</v>
      </c>
      <c r="DJ84" s="267">
        <f>INDEX($BC$77:$BP$85,MATCH($CW84,$L$77:$L$85,0),MATCH(DJ$78,$BC$78:$BP$78,0))/INDEX(고양시_재차인원!$D$4:$H$35,MATCH("고양시",고양시_재차인원!$B$4:$B$35,0),MATCH($DJ$77,고양시_재차인원!$D$4:$H$4,0))</f>
        <v>1.217682513190745E-3</v>
      </c>
      <c r="DK84" s="267">
        <f>INDEX($BC$77:$BP$85,MATCH($CW84,$L$77:$L$85,0),MATCH(DK$78,$BC$78:$BP$78,0))/INDEX(고양시_재차인원!$K$4:$O$20,MATCH("경기도",고양시_재차인원!$K$4:$K$20,0),MATCH(DK$78,고양시_재차인원!$K$4:$O$4,0))</f>
        <v>1.2230841383821899E-8</v>
      </c>
      <c r="DL84" s="267">
        <f>INDEX($BC$77:$BP$85,MATCH($CW84,$L$77:$L$85,0),MATCH(DL$78,$BC$78:$BP$78,0))/INDEX(고양시_재차인원!$K$4:$O$20,MATCH("경기도",고양시_재차인원!$K$4:$K$20,0),MATCH(DL$78,고양시_재차인원!$K$4:$O$4,0))</f>
        <v>3.4001739047024879E-6</v>
      </c>
      <c r="DM84" s="267">
        <f>INDEX($BC$77:$BP$85,MATCH($CW84,$L$77:$L$85,0),MATCH(DM$78,$BC$78:$BP$78,0))/INDEX(고양시_재차인원!$D$4:$H$35,MATCH("고양시",고양시_재차인원!$B$4:$B$35,0),MATCH($DJ$77,고양시_재차인원!$D$4:$H$4,0))</f>
        <v>7.8192668293345738E-5</v>
      </c>
      <c r="DN84" s="267">
        <f>INDEX($BQ$77:$CD$85,MATCH($CW84,$L$77:$L$85,0),MATCH(DN$78,$BQ$78:$CD$78,0))/INDEX(고양시_재차인원!$D$4:$H$35,MATCH("고양시",고양시_재차인원!$B$4:$B$35,0),MATCH($DN$77,고양시_재차인원!$D$4:$H$4,0))</f>
        <v>4.9652239338571439E-3</v>
      </c>
      <c r="DO84" s="267">
        <f>INDEX($BQ$77:$CD$85,MATCH($CW84,$L$77:$L$85,0),MATCH(DO$78,$BQ$78:$CD$78,0))/INDEX(고양시_재차인원!$K$4:$O$20,MATCH("경기도",고양시_재차인원!$K$4:$K$20,0),MATCH(DO$78,고양시_재차인원!$K$4:$O$4,0))</f>
        <v>4.6205400783327134E-8</v>
      </c>
      <c r="DP84" s="267">
        <f>INDEX($BQ$77:$CD$85,MATCH($CW84,$L$77:$L$85,0),MATCH(DP$78,$BQ$78:$CD$78,0))/INDEX(고양시_재차인원!$K$4:$O$20,MATCH("경기도",고양시_재차인원!$K$4:$K$20,0),MATCH(DP$78,고양시_재차인원!$K$4:$O$4,0))</f>
        <v>1.2845101417764941E-5</v>
      </c>
      <c r="DQ84" s="267">
        <f>INDEX($BQ$77:$CD$85,MATCH($CW84,$L$77:$L$85,0),MATCH(DQ$78,$BQ$78:$CD$78,0))/INDEX(고양시_재차인원!$D$4:$H$35,MATCH("고양시",고양시_재차인원!$B$4:$B$35,0),MATCH($DN$77,고양시_재차인원!$D$4:$H$4,0))</f>
        <v>3.1883853455769872E-4</v>
      </c>
      <c r="DR84" s="270">
        <f t="shared" si="23"/>
        <v>16.110860719515966</v>
      </c>
      <c r="DS84" s="270">
        <f t="shared" si="18"/>
        <v>1.6225434179778096E-4</v>
      </c>
      <c r="DT84" s="270">
        <f t="shared" si="18"/>
        <v>4.5106707019783115E-2</v>
      </c>
      <c r="DU84" s="270">
        <f t="shared" si="18"/>
        <v>1.0345481474152289</v>
      </c>
      <c r="DW84" s="278"/>
      <c r="DX84" s="278" t="s">
        <v>720</v>
      </c>
      <c r="DY84" s="281">
        <f t="shared" si="24"/>
        <v>17.145408866931195</v>
      </c>
      <c r="DZ84" s="281">
        <f t="shared" si="25"/>
        <v>4.5268961361580894E-2</v>
      </c>
      <c r="EB84" s="278"/>
      <c r="EC84" s="278" t="s">
        <v>13</v>
      </c>
      <c r="ED84" s="281">
        <f t="shared" si="26"/>
        <v>17.145408866931195</v>
      </c>
      <c r="EE84" s="281">
        <f t="shared" si="19"/>
        <v>4.5268961361580894E-2</v>
      </c>
      <c r="FE84" t="s">
        <v>12</v>
      </c>
      <c r="FF84" t="s">
        <v>361</v>
      </c>
      <c r="FG84">
        <v>8261.5616000000009</v>
      </c>
      <c r="FH84" s="277" t="e">
        <f t="shared" si="27"/>
        <v>#DIV/0!</v>
      </c>
    </row>
    <row r="85" spans="1:164" ht="37.5">
      <c r="A85" s="205"/>
      <c r="B85" s="205" t="s">
        <v>722</v>
      </c>
      <c r="C85" s="400">
        <f>$D14*KTDB_TripDistribution_2045!T$12 * (1+KTDB_발생량도착량_증가율!$C$7) * (1+KTDB_발생량도착량_증가율!$D$8*5) * (1+KTDB_발생량도착량_증가율!$E$8*5) * (1+KTDB_발생량도착량_증가율!$F$8*5) * (1+KTDB_발생량도착량_증가율!$G$8*5)</f>
        <v>32.381499919563758</v>
      </c>
      <c r="D85" s="400">
        <f>$D14*KTDB_TripDistribution_2045!U$12 * (1+KTDB_발생량도착량_증가율!$C$7) * (1+KTDB_발생량도착량_증가율!$D$8*5) * (1+KTDB_발생량도착량_증가율!$E$8*5) * (1+KTDB_발생량도착량_증가율!$F$8*5) * (1+KTDB_발생량도착량_증가율!$G$8*5)</f>
        <v>234.35153958025552</v>
      </c>
      <c r="E85" s="400">
        <f>$D14*KTDB_TripDistribution_2045!V$12 * (1+KTDB_발생량도착량_증가율!$C$7) * (1+KTDB_발생량도착량_증가율!$D$8*5) * (1+KTDB_발생량도착량_증가율!$E$8*5) * (1+KTDB_발생량도착량_증가율!$F$8*5) * (1+KTDB_발생량도착량_증가율!$G$8*5)</f>
        <v>13.444167756948051</v>
      </c>
      <c r="F85" s="400">
        <f>$D14*KTDB_TripDistribution_2045!W$12 * (1+KTDB_발생량도착량_증가율!$C$7) * (1+KTDB_발생량도착량_증가율!$D$8*5) * (1+KTDB_발생량도착량_증가율!$E$8*5) * (1+KTDB_발생량도착량_증가율!$F$8*5) * (1+KTDB_발생량도착량_증가율!$G$8*5)</f>
        <v>2.1127555406413947E-2</v>
      </c>
      <c r="G85" s="400">
        <f>$D14*KTDB_TripDistribution_2045!X$12 * (1+KTDB_발생량도착량_증가율!$C$7) * (1+KTDB_발생량도착량_증가율!$D$8*5) * (1+KTDB_발생량도착량_증가율!$E$8*5) * (1+KTDB_발생량도착량_증가율!$F$8*5) * (1+KTDB_발생량도착량_증가율!$G$8*5)</f>
        <v>7.9815209313119292E-2</v>
      </c>
      <c r="H85" s="400">
        <f>$D14*KTDB_TripDistribution_2045!Y$12 * (1+KTDB_발생량도착량_증가율!$C$7) * (1+KTDB_발생량도착량_증가율!$D$8*5) * (1+KTDB_발생량도착량_증가율!$E$8*5) * (1+KTDB_발생량도착량_증가율!$F$8*5) * (1+KTDB_발생량도착량_증가율!$G$8*5)</f>
        <v>280.27815002148679</v>
      </c>
      <c r="I85" s="56"/>
      <c r="J85" s="56"/>
      <c r="K85" s="206"/>
      <c r="L85" s="206" t="s">
        <v>722</v>
      </c>
      <c r="M85" s="206">
        <f>INDEX($A$78:$H$85,MATCH($L85,$B$78:$B$85,0),MATCH($M$77,$A$78:$H$78,0))*고양시_Modal_split!C$3 * 0.01</f>
        <v>9.0668199774778524E-2</v>
      </c>
      <c r="N85" s="206">
        <f>INDEX($A$78:$H$85,MATCH($L85,$B$78:$B$85,0),MATCH($M$77,$A$78:$H$78,0))*고양시_Modal_split!D$3 * 0.01</f>
        <v>15.229019412170835</v>
      </c>
      <c r="O85" s="206">
        <f>INDEX($A$78:$H$85,MATCH($L85,$B$78:$B$85,0),MATCH($M$77,$A$78:$H$78,0))*고양시_Modal_split!E$3 * 0.01</f>
        <v>1.8425073454231775</v>
      </c>
      <c r="P85" s="206">
        <f>INDEX($A$78:$H$85,MATCH($L85,$B$78:$B$85,0),MATCH($M$77,$A$78:$H$78,0))*고양시_Modal_split!F$3 * 0.01</f>
        <v>2.969383542623997</v>
      </c>
      <c r="Q85" s="206">
        <f>INDEX($A$78:$H$85,MATCH($L85,$B$78:$B$85,0),MATCH($M$77,$A$78:$H$78,0))*고양시_Modal_split!G$3 * 0.01</f>
        <v>0.29790979925998656</v>
      </c>
      <c r="R85" s="206">
        <f>INDEX($A$78:$H$85,MATCH($L85,$B$78:$B$85,0),MATCH($M$77,$A$78:$H$78,0))*고양시_Modal_split!H$3 * 0.01</f>
        <v>3.238149991956376E-3</v>
      </c>
      <c r="S85" s="206">
        <f>INDEX($A$78:$H$85,MATCH($L85,$B$78:$B$85,0),MATCH($M$77,$A$78:$H$78,0))*고양시_Modal_split!I$3 * 0.01</f>
        <v>0.90020569776387249</v>
      </c>
      <c r="T85" s="206">
        <f>INDEX($A$78:$H$85,MATCH($L85,$B$78:$B$85,0),MATCH($M$77,$A$78:$H$78,0))*고양시_Modal_split!J$3 * 0.01</f>
        <v>9.8569285755152087</v>
      </c>
      <c r="U85" s="206">
        <f>INDEX($A$78:$H$85,MATCH($L85,$B$78:$B$85,0),MATCH($M$77,$A$78:$H$78,0))*고양시_Modal_split!K$3 * 0.01</f>
        <v>4.8572249879345643E-2</v>
      </c>
      <c r="V85" s="206">
        <f>INDEX($A$78:$H$85,MATCH($L85,$B$78:$B$85,0),MATCH($M$77,$A$78:$H$78,0))*고양시_Modal_split!L$3 * 0.01</f>
        <v>0.97792129757082547</v>
      </c>
      <c r="W85" s="206">
        <f>INDEX($A$78:$H$85,MATCH($L85,$B$78:$B$85,0),MATCH($M$77,$A$78:$H$78,0))*고양시_Modal_split!M$3 * 0.01</f>
        <v>7.4477449814996641E-2</v>
      </c>
      <c r="X85" s="206">
        <f>INDEX($A$78:$H$85,MATCH($L85,$B$78:$B$85,0),MATCH($M$77,$A$78:$H$78,0))*고양시_Modal_split!N$3 * 0.01</f>
        <v>3.238149991956376E-2</v>
      </c>
      <c r="Y85" s="206">
        <f>INDEX($A$78:$H$85,MATCH($L85,$B$78:$B$85,0),MATCH($M$77,$A$78:$H$78,0))*고양시_Modal_split!O$3 * 0.01</f>
        <v>5.8286699855214764E-2</v>
      </c>
      <c r="Z85" s="209">
        <f>INDEX($A$78:$H$85,MATCH($L85,$B$78:$B$85,0),MATCH($M$77,$A$78:$H$78,0))*고양시_Modal_split!P$3 * 0.01</f>
        <v>32.381499919563758</v>
      </c>
      <c r="AA85" s="207">
        <f>INDEX($A$78:$H$85,MATCH($L85,$B$78:$B$85,0),MATCH($AA$77,$A$78:$H$78,0))*고양시_Modal_split!C$3 * 0.01</f>
        <v>0.65618431082471551</v>
      </c>
      <c r="AB85" s="207">
        <f>INDEX($A$78:$H$85,MATCH($L85,$B$78:$B$85,0),MATCH($AA$77,$A$78:$H$78,0))*고양시_Modal_split!D$3 * 0.01</f>
        <v>110.21552906459418</v>
      </c>
      <c r="AC85" s="207">
        <f>INDEX($A$78:$H$85,MATCH($L85,$B$78:$B$85,0),MATCH($AA$77,$A$78:$H$78,0))*고양시_Modal_split!E$3 * 0.01</f>
        <v>13.334602602116538</v>
      </c>
      <c r="AD85" s="207">
        <f>INDEX($A$78:$H$85,MATCH($L85,$B$78:$B$85,0),MATCH($AA$77,$A$78:$H$78,0))*고양시_Modal_split!F$3 * 0.01</f>
        <v>21.490036179509431</v>
      </c>
      <c r="AE85" s="207">
        <f>INDEX($A$78:$H$85,MATCH($L85,$B$78:$B$85,0),MATCH($AA$77,$A$78:$H$78,0))*고양시_Modal_split!G$3 * 0.01</f>
        <v>2.1560341641383505</v>
      </c>
      <c r="AF85" s="207">
        <f>INDEX($A$78:$H$85,MATCH($L85,$B$78:$B$85,0),MATCH($AA$77,$A$78:$H$78,0))*고양시_Modal_split!H$3 * 0.01</f>
        <v>2.3435153958025551E-2</v>
      </c>
      <c r="AG85" s="207">
        <f>INDEX($A$78:$H$85,MATCH($L85,$B$78:$B$85,0),MATCH($AA$77,$A$78:$H$78,0))*고양시_Modal_split!I$3 * 0.01</f>
        <v>6.5149728003311029</v>
      </c>
      <c r="AH85" s="207">
        <f>INDEX($A$78:$H$85,MATCH($L85,$B$78:$B$85,0),MATCH($AA$77,$A$78:$H$78,0))*고양시_Modal_split!J$3 * 0.01</f>
        <v>71.336608648229785</v>
      </c>
      <c r="AI85" s="207">
        <f>INDEX($A$78:$H$85,MATCH($L85,$B$78:$B$85,0),MATCH($AA$77,$A$78:$H$78,0))*고양시_Modal_split!K$3 * 0.01</f>
        <v>0.35152730937038329</v>
      </c>
      <c r="AJ85" s="207">
        <f>INDEX($A$78:$H$85,MATCH($L85,$B$78:$B$85,0),MATCH($AA$77,$A$78:$H$78,0))*고양시_Modal_split!L$3 * 0.01</f>
        <v>7.0774164953237166</v>
      </c>
      <c r="AK85" s="207">
        <f>INDEX($A$78:$H$85,MATCH($L85,$B$78:$B$85,0),MATCH($AA$77,$A$78:$H$78,0))*고양시_Modal_split!M$3 * 0.01</f>
        <v>0.53900854103458762</v>
      </c>
      <c r="AL85" s="207">
        <f>INDEX($A$78:$H$85,MATCH($L85,$B$78:$B$85,0),MATCH($AA$77,$A$78:$H$78,0))*고양시_Modal_split!N$3 * 0.01</f>
        <v>0.23435153958025554</v>
      </c>
      <c r="AM85" s="207">
        <f>INDEX($A$78:$H$85,MATCH($L85,$B$78:$B$85,0),MATCH($AA$77,$A$78:$H$78,0))*고양시_Modal_split!O$3 * 0.01</f>
        <v>0.42183277124445995</v>
      </c>
      <c r="AN85" s="207">
        <f>INDEX($A$78:$H$85,MATCH($L85,$B$78:$B$85,0),MATCH($AA$77,$A$78:$H$78,0))*고양시_Modal_split!P$3 * 0.01</f>
        <v>234.35153958025552</v>
      </c>
      <c r="AO85" s="303">
        <f>INDEX($A$78:$H$85,MATCH($L42,$B$78:$B$85,0),MATCH($AO$77,$A$78:$H$78,0))*고양시_Modal_split!C$3 * 0.01</f>
        <v>3.7643669719454535E-2</v>
      </c>
      <c r="AP85" s="303">
        <f>INDEX($A$78:$H$85,MATCH($L42,$B$78:$B$85,0),MATCH($AO$77,$A$78:$H$78,0))*고양시_Modal_split!D$3 * 0.01</f>
        <v>6.3227920960926696</v>
      </c>
      <c r="AQ85" s="303">
        <f>INDEX($A$78:$H$85,MATCH($L42,$B$78:$B$85,0),MATCH($AO$77,$A$78:$H$78,0))*고양시_Modal_split!E$3 * 0.01</f>
        <v>0.764973145370344</v>
      </c>
      <c r="AR85" s="303">
        <f>INDEX($A$78:$H$85,MATCH($L42,$B$78:$B$85,0),MATCH($AO$77,$A$78:$H$78,0))*고양시_Modal_split!F$3 * 0.01</f>
        <v>1.2328301833121362</v>
      </c>
      <c r="AS85" s="303">
        <f>INDEX($A$78:$H$85,MATCH($L42,$B$78:$B$85,0),MATCH($AO$77,$A$78:$H$78,0))*고양시_Modal_split!G$3 * 0.01</f>
        <v>0.12368634336392206</v>
      </c>
      <c r="AT85" s="303">
        <f>INDEX($A$78:$H$85,MATCH($L42,$B$78:$B$85,0),MATCH($AO$77,$A$78:$H$78,0))*고양시_Modal_split!H$3 * 0.01</f>
        <v>1.3444167756948052E-3</v>
      </c>
      <c r="AU85" s="303">
        <f>INDEX($A$78:$H$85,MATCH($L42,$B$78:$B$85,0),MATCH($AO$77,$A$78:$H$78,0))*고양시_Modal_split!I$3 * 0.01</f>
        <v>0.37374786364315582</v>
      </c>
      <c r="AV85" s="303">
        <f>INDEX($A$78:$H$85,MATCH($L42,$B$78:$B$85,0),MATCH($AO$77,$A$78:$H$78,0))*고양시_Modal_split!J$3 * 0.01</f>
        <v>4.0924046652149872</v>
      </c>
      <c r="AW85" s="303">
        <f>INDEX($A$78:$H$85,MATCH($L42,$B$78:$B$85,0),MATCH($AO$77,$A$78:$H$78,0))*고양시_Modal_split!K$3 * 0.01</f>
        <v>2.0166251635422076E-2</v>
      </c>
      <c r="AX85" s="303">
        <f>INDEX($A$78:$H$85,MATCH($L42,$B$78:$B$85,0),MATCH($AO$77,$A$78:$H$78,0))*고양시_Modal_split!L$3 * 0.01</f>
        <v>0.40601386625983116</v>
      </c>
      <c r="AY85" s="303">
        <f>INDEX($A$78:$H$85,MATCH($L42,$B$78:$B$85,0),MATCH($AO$77,$A$78:$H$78,0))*고양시_Modal_split!M$3 * 0.01</f>
        <v>3.0921585840980516E-2</v>
      </c>
      <c r="AZ85" s="303">
        <f>INDEX($A$78:$H$85,MATCH($L42,$B$78:$B$85,0),MATCH($AO$77,$A$78:$H$78,0))*고양시_Modal_split!N$3 * 0.01</f>
        <v>1.3444167756948051E-2</v>
      </c>
      <c r="BA85" s="207">
        <f>INDEX($A$78:$H$85,MATCH($L42,$B$78:$B$85,0),MATCH($AO$77,$A$78:$H$78,0))*고양시_Modal_split!O$3 * 0.01</f>
        <v>2.4199501962506493E-2</v>
      </c>
      <c r="BB85" s="207">
        <f>INDEX($A$78:$H$85,MATCH($L42,$B$78:$B$85,0),MATCH($AO$77,$A$78:$H$78,0))*고양시_Modal_split!P$3 * 0.01</f>
        <v>13.444167756948053</v>
      </c>
      <c r="BC85" s="207">
        <f>INDEX($A$78:$H$85,MATCH($L85,$B$78:$B$85,0),MATCH($BC$77,$A$78:$H$78,0))*고양시_Modal_split!C$3 * 0.01</f>
        <v>5.9157155137959048E-5</v>
      </c>
      <c r="BD85" s="207">
        <f>INDEX($A$78:$H$85,MATCH($L85,$B$78:$B$85,0),MATCH($BC$77,$A$78:$H$78,0))*고양시_Modal_split!D$3 * 0.01</f>
        <v>9.9362893076364797E-3</v>
      </c>
      <c r="BE85" s="207">
        <f>INDEX($A$78:$H$85,MATCH($L85,$B$78:$B$85,0),MATCH($BC$77,$A$78:$H$78,0))*고양시_Modal_split!E$3 * 0.01</f>
        <v>1.2021579026249534E-3</v>
      </c>
      <c r="BF85" s="207">
        <f>INDEX($A$78:$H$85,MATCH($L85,$B$78:$B$85,0),MATCH($BC$77,$A$78:$H$78,0))*고양시_Modal_split!F$3 * 0.01</f>
        <v>1.9373968307681588E-3</v>
      </c>
      <c r="BG85" s="207">
        <f>INDEX($A$78:$H$85,MATCH($L85,$B$78:$B$85,0),MATCH($BC$77,$A$78:$H$78,0))*고양시_Modal_split!G$3 * 0.01</f>
        <v>1.9437350973900832E-4</v>
      </c>
      <c r="BH85" s="207">
        <f>INDEX($A$78:$H$85,MATCH($L85,$B$78:$B$85,0),MATCH($BC$77,$A$78:$H$78,0))*고양시_Modal_split!H$3 * 0.01</f>
        <v>2.1127555406413949E-6</v>
      </c>
      <c r="BI85" s="207">
        <f>INDEX($A$78:$H$85,MATCH($L85,$B$78:$B$85,0),MATCH($BC$77,$A$78:$H$78,0))*고양시_Modal_split!I$3 * 0.01</f>
        <v>5.8734604029830764E-4</v>
      </c>
      <c r="BJ85" s="207">
        <f>INDEX($A$78:$H$85,MATCH($L85,$B$78:$B$85,0),MATCH($BC$77,$A$78:$H$78,0))*고양시_Modal_split!J$3 * 0.01</f>
        <v>6.4312278657124057E-3</v>
      </c>
      <c r="BK85" s="207">
        <f>INDEX($A$78:$H$85,MATCH($L85,$B$78:$B$85,0),MATCH($BC$77,$A$78:$H$78,0))*고양시_Modal_split!K$3 * 0.01</f>
        <v>3.169133310962092E-5</v>
      </c>
      <c r="BL85" s="207">
        <f>INDEX($A$78:$H$85,MATCH($L85,$B$78:$B$85,0),MATCH($BC$77,$A$78:$H$78,0))*고양시_Modal_split!L$3 * 0.01</f>
        <v>6.3805217327370111E-4</v>
      </c>
      <c r="BM85" s="207">
        <f>INDEX($A$78:$H$85,MATCH($L85,$B$78:$B$85,0),MATCH($BC$77,$A$78:$H$78,0))*고양시_Modal_split!M$3 * 0.01</f>
        <v>4.8593377434752079E-5</v>
      </c>
      <c r="BN85" s="207">
        <f>INDEX($A$78:$H$85,MATCH($L85,$B$78:$B$85,0),MATCH($BC$77,$A$78:$H$78,0))*고양시_Modal_split!N$3 * 0.01</f>
        <v>2.1127555406413951E-5</v>
      </c>
      <c r="BO85" s="207">
        <f>INDEX($A$78:$H$85,MATCH($L85,$B$78:$B$85,0),MATCH($BC$77,$A$78:$H$78,0))*고양시_Modal_split!O$3 * 0.01</f>
        <v>3.8029599731545104E-5</v>
      </c>
      <c r="BP85" s="207">
        <f>INDEX($A$78:$H$85,MATCH($L85,$B$78:$B$85,0),MATCH($BC$77,$A$78:$H$78,0))*고양시_Modal_split!P$3 * 0.01</f>
        <v>2.1127555406413947E-2</v>
      </c>
      <c r="BQ85" s="207">
        <f>INDEX($A$78:$H$85,MATCH($L42,$B$78:$B$85,0),MATCH($BQ$77,$A$78:$H$78,0))*고양시_Modal_split!C$3 * 0.01</f>
        <v>2.2348258607673402E-4</v>
      </c>
      <c r="BR85" s="207">
        <f>INDEX($A$78:$H$85,MATCH($L42,$B$78:$B$85,0),MATCH($BQ$77,$A$78:$H$78,0))*고양시_Modal_split!D$3 * 0.01</f>
        <v>3.7537092939960007E-2</v>
      </c>
      <c r="BS85" s="207">
        <f>INDEX($A$78:$H$85,MATCH($L42,$B$78:$B$85,0),MATCH($BQ$77,$A$78:$H$78,0))*고양시_Modal_split!E$3 * 0.01</f>
        <v>4.5414854099164875E-3</v>
      </c>
      <c r="BT85" s="207">
        <f>INDEX($A$78:$H$85,MATCH($L42,$B$78:$B$85,0),MATCH($BQ$77,$A$78:$H$78,0))*고양시_Modal_split!F$3 * 0.01</f>
        <v>7.3190546940130391E-3</v>
      </c>
      <c r="BU85" s="207">
        <f>INDEX($A$78:$H$85,MATCH($L42,$B$78:$B$85,0),MATCH($BQ$77,$A$78:$H$78,0))*고양시_Modal_split!G$3 * 0.01</f>
        <v>7.3429992568069746E-4</v>
      </c>
      <c r="BV85" s="207">
        <f>INDEX($A$78:$H$85,MATCH($L42,$B$78:$B$85,0),MATCH($BQ$77,$A$78:$H$78,0))*고양시_Modal_split!H$3 * 0.01</f>
        <v>7.9815209313119304E-6</v>
      </c>
      <c r="BW85" s="207">
        <f>INDEX($A$78:$H$85,MATCH($L42,$B$78:$B$85,0),MATCH($BQ$77,$A$78:$H$78,0))*고양시_Modal_split!I$3 * 0.01</f>
        <v>2.218862818904716E-3</v>
      </c>
      <c r="BX85" s="207">
        <f>INDEX($A$78:$H$85,MATCH($L42,$B$78:$B$85,0),MATCH($BQ$77,$A$78:$H$78,0))*고양시_Modal_split!J$3 * 0.01</f>
        <v>2.4295749714913516E-2</v>
      </c>
      <c r="BY85" s="207">
        <f>INDEX($A$78:$H$85,MATCH($L42,$B$78:$B$85,0),MATCH($BQ$77,$A$78:$H$78,0))*고양시_Modal_split!K$3 * 0.01</f>
        <v>1.1972281396967895E-4</v>
      </c>
      <c r="BZ85" s="207">
        <f>INDEX($A$78:$H$85,MATCH($L42,$B$78:$B$85,0),MATCH($BQ$77,$A$78:$H$78,0))*고양시_Modal_split!L$3 * 0.01</f>
        <v>2.4104193212562026E-3</v>
      </c>
      <c r="CA85" s="207">
        <f>INDEX($A$78:$H$85,MATCH($L42,$B$78:$B$85,0),MATCH($BQ$77,$A$78:$H$78,0))*고양시_Modal_split!M$3 * 0.01</f>
        <v>1.8357498142017436E-4</v>
      </c>
      <c r="CB85" s="207">
        <f>INDEX($A$78:$H$85,MATCH($L42,$B$78:$B$85,0),MATCH($BQ$77,$A$78:$H$78,0))*고양시_Modal_split!N$3 * 0.01</f>
        <v>7.9815209313119294E-5</v>
      </c>
      <c r="CC85" s="207">
        <f>INDEX($A$78:$H$85,MATCH($L42,$B$78:$B$85,0),MATCH($BQ$77,$A$78:$H$78,0))*고양시_Modal_split!O$3 * 0.01</f>
        <v>1.4366737676361471E-4</v>
      </c>
      <c r="CD85" s="207">
        <f>INDEX($A$78:$H$85,MATCH($L42,$B$78:$B$85,0),MATCH($BQ$77,$A$78:$H$78,0))*고양시_Modal_split!P$3 * 0.01</f>
        <v>7.9815209313119292E-2</v>
      </c>
      <c r="CE85" s="304">
        <f t="shared" si="21"/>
        <v>0.78477882006016331</v>
      </c>
      <c r="CF85" s="304">
        <f t="shared" si="17"/>
        <v>131.81481395510528</v>
      </c>
      <c r="CG85" s="304">
        <f t="shared" si="17"/>
        <v>15.947826736222602</v>
      </c>
      <c r="CH85" s="304">
        <f t="shared" si="17"/>
        <v>25.701506356970345</v>
      </c>
      <c r="CI85" s="304">
        <f t="shared" si="17"/>
        <v>2.5785589801976787</v>
      </c>
      <c r="CJ85" s="304">
        <f t="shared" si="17"/>
        <v>2.8027815002148689E-2</v>
      </c>
      <c r="CK85" s="304">
        <f t="shared" si="17"/>
        <v>7.7917325705973335</v>
      </c>
      <c r="CL85" s="304">
        <f t="shared" si="17"/>
        <v>85.31666886654061</v>
      </c>
      <c r="CM85" s="304">
        <f t="shared" si="17"/>
        <v>0.42041722503223028</v>
      </c>
      <c r="CN85" s="304">
        <f t="shared" si="17"/>
        <v>8.4644001306489045</v>
      </c>
      <c r="CO85" s="304">
        <f t="shared" si="17"/>
        <v>0.64463974504941968</v>
      </c>
      <c r="CP85" s="304">
        <f t="shared" si="17"/>
        <v>0.28027815002148687</v>
      </c>
      <c r="CQ85" s="304">
        <f t="shared" si="17"/>
        <v>0.50450067003867638</v>
      </c>
      <c r="CR85" s="304">
        <f t="shared" si="17"/>
        <v>280.27815002148679</v>
      </c>
      <c r="CS85" s="305">
        <f t="shared" si="22"/>
        <v>0</v>
      </c>
      <c r="CV85" s="267"/>
      <c r="CW85" s="267" t="s">
        <v>722</v>
      </c>
      <c r="CX85" s="267">
        <f>INDEX($M$77:$Z$85,MATCH($CW85,$L$77:$L$85,0),MATCH(CX$78,$M$78:$Z$78,0))/INDEX(고양시_재차인원!$D$4:$H$35,MATCH("고양시",고양시_재차인원!$B$4:$B$35,0),MATCH($CX$77,고양시_재차인원!$D$4:$H$4,0))</f>
        <v>13.597338760866815</v>
      </c>
      <c r="CY85" s="267">
        <f>INDEX($M$77:$Z$85,MATCH($CW85,$L$77:$L$85,0),MATCH(CY$78,$M$78:$Z$78,0))/INDEX(고양시_재차인원!$K$4:$O$20,MATCH("경기도",고양시_재차인원!$K$4:$K$20,0),MATCH(CY$78,고양시_재차인원!$K$4:$O$4,0))</f>
        <v>1.1247481736562613E-4</v>
      </c>
      <c r="CZ85" s="267">
        <f>INDEX($M$77:$Z$85,MATCH($CW85,$L$77:$L$85,0),MATCH(CZ$78,$M$78:$Z$78,0))/INDEX(고양시_재차인원!$K$4:$O$20,MATCH("경기도",고양시_재차인원!$K$4:$K$20,0),MATCH(CZ$78,고양시_재차인원!$K$4:$O$4,0))</f>
        <v>3.1267999227644061E-2</v>
      </c>
      <c r="DA85" s="267">
        <f>INDEX($M$77:$Z$85,MATCH($CW85,$L$77:$L$85,0),MATCH(DA$78,$M$78:$Z$78,0))/INDEX(고양시_재차인원!$D$4:$H$35,MATCH("고양시",고양시_재차인원!$B$4:$B$35,0),MATCH($CX$77,고양시_재차인원!$D$4:$H$4,0))</f>
        <v>0.87314401568823696</v>
      </c>
      <c r="DB85" s="267">
        <f>INDEX($AA$77:$AN$85,MATCH($CW85,$L$77:$L$85,0),MATCH(DB$78,$AA$78:$AN$78,0))/INDEX(고양시_재차인원!$D$4:$H$35,MATCH("고양시",고양시_재차인원!$B$4:$B$35,0),MATCH($DB$77,고양시_재차인원!$D$4:$H$4,0))</f>
        <v>78.167041889783107</v>
      </c>
      <c r="DC85" s="267">
        <f>INDEX($AA$77:$AN$85,MATCH($CW85,$L$77:$L$85,0),MATCH(DC$78,$AA$78:$AN$78,0))/INDEX(고양시_재차인원!$K$4:$O$20,MATCH("경기도",고양시_재차인원!$K$4:$K$20,0),MATCH(DC$78,고양시_재차인원!$K$4:$O$4,0))</f>
        <v>8.1400326356462498E-4</v>
      </c>
      <c r="DD85" s="267">
        <f>INDEX($AA$77:$AN$85,MATCH($CW85,$L$77:$L$85,0),MATCH(DD$78,$AA$78:$AN$78,0))/INDEX(고양시_재차인원!$K$4:$O$20,MATCH("경기도",고양시_재차인원!$K$4:$K$20,0),MATCH(DD$78,고양시_재차인원!$K$4:$O$4,0))</f>
        <v>0.22629290727096571</v>
      </c>
      <c r="DE85" s="267">
        <f>INDEX($AA$77:$AN$85,MATCH($CW85,$L$77:$L$85,0),MATCH(DE$78,$AA$78:$AN$78,0))/INDEX(고양시_재차인원!$D$4:$H$35,MATCH("고양시",고양시_재차인원!$B$4:$B$35,0),MATCH($DB$77,고양시_재차인원!$D$4:$H$4,0))</f>
        <v>5.0194443229246222</v>
      </c>
      <c r="DF85" s="267">
        <f>INDEX($AO$77:$BB$85,MATCH($CW85,$L$77:$L$85,0),MATCH(DF$78,$AO$78:$BB$78,0))/INDEX(고양시_재차인원!$D$4:$H$35,MATCH("고양시",고양시_재차인원!$B$4:$B$35,0),MATCH($DF$77,고양시_재차인원!$D$4:$H$4,0))</f>
        <v>4.8636862277635915</v>
      </c>
      <c r="DG85" s="267">
        <f>INDEX($AO$77:$BB$85,MATCH($CW85,$L$77:$L$85,0),MATCH(DG$78,$AO$78:$BB$78,0))/INDEX(고양시_재차인원!$K$4:$O$20,MATCH("경기도",고양시_재차인원!$K$4:$K$20,0),MATCH(DG$78,고양시_재차인원!$K$4:$O$4,0))</f>
        <v>4.6697352403431933E-5</v>
      </c>
      <c r="DH85" s="267">
        <f>INDEX($AO$77:$BB$85,MATCH($CW85,$L$77:$L$85,0),MATCH(DH$78,$AO$78:$BB$78,0))/INDEX(고양시_재차인원!$K$4:$O$20,MATCH("경기도",고양시_재차인원!$K$4:$K$20,0),MATCH(DH$78,고양시_재차인원!$K$4:$O$4,0))</f>
        <v>1.2981863968154076E-2</v>
      </c>
      <c r="DI85" s="267">
        <f>INDEX($AO$77:$BB$85,MATCH($CW85,$L$77:$L$85,0),MATCH(DI$78,$AO$78:$BB$78,0))/INDEX(고양시_재차인원!$D$4:$H$35,MATCH("고양시",고양시_재차인원!$B$4:$B$35,0),MATCH($DF$77,고양시_재차인원!$D$4:$H$4,0))</f>
        <v>0.31231835866140856</v>
      </c>
      <c r="DJ85" s="267">
        <f>INDEX($BC$77:$BP$85,MATCH($CW85,$L$77:$L$85,0),MATCH(DJ$78,$BC$78:$BP$78,0))/INDEX(고양시_재차인원!$D$4:$H$35,MATCH("고양시",고양시_재차인원!$B$4:$B$35,0),MATCH($DJ$77,고양시_재차인원!$D$4:$H$4,0))</f>
        <v>7.3060950791444699E-3</v>
      </c>
      <c r="DK85" s="267">
        <f>INDEX($BC$77:$BP$85,MATCH($CW85,$L$77:$L$85,0),MATCH(DK$78,$BC$78:$BP$78,0))/INDEX(고양시_재차인원!$K$4:$O$20,MATCH("경기도",고양시_재차인원!$K$4:$K$20,0),MATCH(DK$78,고양시_재차인원!$K$4:$O$4,0))</f>
        <v>7.3385048302931401E-8</v>
      </c>
      <c r="DL85" s="267">
        <f>INDEX($BC$77:$BP$85,MATCH($CW85,$L$77:$L$85,0),MATCH(DL$78,$BC$78:$BP$78,0))/INDEX(고양시_재차인원!$K$4:$O$20,MATCH("경기도",고양시_재차인원!$K$4:$K$20,0),MATCH(DL$78,고양시_재차인원!$K$4:$O$4,0))</f>
        <v>2.0401043428214922E-5</v>
      </c>
      <c r="DM85" s="267">
        <f>INDEX($BC$77:$BP$85,MATCH($CW85,$L$77:$L$85,0),MATCH(DM$78,$BC$78:$BP$78,0))/INDEX(고양시_재차인원!$D$4:$H$35,MATCH("고양시",고양시_재차인원!$B$4:$B$35,0),MATCH($DJ$77,고양시_재차인원!$D$4:$H$4,0))</f>
        <v>4.6915600976007429E-4</v>
      </c>
      <c r="DN85" s="267">
        <f>INDEX($BQ$77:$CD$85,MATCH($CW85,$L$77:$L$85,0),MATCH(DN$78,$BQ$78:$CD$78,0))/INDEX(고양시_재차인원!$D$4:$H$35,MATCH("고양시",고양시_재차인원!$B$4:$B$35,0),MATCH($DN$77,고양시_재차인원!$D$4:$H$4,0))</f>
        <v>2.9791343603142863E-2</v>
      </c>
      <c r="DO85" s="267">
        <f>INDEX($BQ$77:$CD$85,MATCH($CW85,$L$77:$L$85,0),MATCH(DO$78,$BQ$78:$CD$78,0))/INDEX(고양시_재차인원!$K$4:$O$20,MATCH("경기도",고양시_재차인원!$K$4:$K$20,0),MATCH(DO$78,고양시_재차인원!$K$4:$O$4,0))</f>
        <v>2.7723240469996287E-7</v>
      </c>
      <c r="DP85" s="267">
        <f>INDEX($BQ$77:$CD$85,MATCH($CW85,$L$77:$L$85,0),MATCH(DP$78,$BQ$78:$CD$78,0))/INDEX(고양시_재차인원!$K$4:$O$20,MATCH("경기도",고양시_재차인원!$K$4:$K$20,0),MATCH(DP$78,고양시_재차인원!$K$4:$O$4,0))</f>
        <v>7.7070608506589646E-5</v>
      </c>
      <c r="DQ85" s="267">
        <f>INDEX($BQ$77:$CD$85,MATCH($CW85,$L$77:$L$85,0),MATCH(DQ$78,$BQ$78:$CD$78,0))/INDEX(고양시_재차인원!$D$4:$H$35,MATCH("고양시",고양시_재차인원!$B$4:$B$35,0),MATCH($DN$77,고양시_재차인원!$D$4:$H$4,0))</f>
        <v>1.9130312073461927E-3</v>
      </c>
      <c r="DR85" s="270">
        <f t="shared" si="23"/>
        <v>96.665164317095801</v>
      </c>
      <c r="DS85" s="270">
        <f t="shared" si="18"/>
        <v>9.7352605078668589E-4</v>
      </c>
      <c r="DT85" s="270">
        <f t="shared" si="18"/>
        <v>0.27064024211869864</v>
      </c>
      <c r="DU85" s="270">
        <f t="shared" si="18"/>
        <v>6.2072888844913745</v>
      </c>
      <c r="DW85" s="278"/>
      <c r="DX85" s="278" t="s">
        <v>722</v>
      </c>
      <c r="DY85" s="281">
        <f t="shared" si="24"/>
        <v>102.87245320158718</v>
      </c>
      <c r="DZ85" s="281">
        <f t="shared" si="25"/>
        <v>0.27161376816948535</v>
      </c>
      <c r="EB85" s="278"/>
      <c r="EC85" s="278" t="s">
        <v>301</v>
      </c>
      <c r="ED85" s="281">
        <f t="shared" si="26"/>
        <v>102.87245320158718</v>
      </c>
      <c r="EE85" s="281">
        <f t="shared" si="19"/>
        <v>0.27161376816948535</v>
      </c>
      <c r="FE85" t="s">
        <v>12</v>
      </c>
      <c r="FF85" t="s">
        <v>362</v>
      </c>
      <c r="FG85">
        <v>22890.217400000001</v>
      </c>
      <c r="FH85" s="277" t="e">
        <f t="shared" si="27"/>
        <v>#DIV/0!</v>
      </c>
    </row>
    <row r="86" spans="1:164">
      <c r="H86">
        <f>SUM(H79:H85)</f>
        <v>2044.1619741567106</v>
      </c>
      <c r="I86" t="b">
        <f>H86=SUM(D8:D10,D11:D14)  * (1+KTDB_발생량도착량_증가율!$C$8)</f>
        <v>0</v>
      </c>
      <c r="DW86" s="278"/>
      <c r="DX86" s="278" t="s">
        <v>26</v>
      </c>
      <c r="DY86" s="281">
        <f>SUM(DY79:DY85)</f>
        <v>750.28309201690934</v>
      </c>
      <c r="DZ86" s="281">
        <f>SUM(DZ79:DZ85)</f>
        <v>1.9809697491827802</v>
      </c>
      <c r="EC86" s="278" t="s">
        <v>26</v>
      </c>
      <c r="ED86" s="281">
        <f>DY86</f>
        <v>750.28309201690934</v>
      </c>
      <c r="EE86" s="281">
        <f>DZ86</f>
        <v>1.9809697491827802</v>
      </c>
    </row>
    <row r="87" spans="1:164">
      <c r="ED87" s="230">
        <f>SUM(ED79:ED85)-ED86</f>
        <v>0</v>
      </c>
      <c r="EE87" s="230" t="b">
        <f>SUM(EE79:EE85)=EE86</f>
        <v>1</v>
      </c>
    </row>
  </sheetData>
  <mergeCells count="46">
    <mergeCell ref="X20:X21"/>
    <mergeCell ref="U24:U25"/>
    <mergeCell ref="M34:Z34"/>
    <mergeCell ref="AA34:AN34"/>
    <mergeCell ref="AO34:BB34"/>
    <mergeCell ref="T18:T27"/>
    <mergeCell ref="V20:V21"/>
    <mergeCell ref="W20:W21"/>
    <mergeCell ref="DJ34:DM34"/>
    <mergeCell ref="DN34:DQ34"/>
    <mergeCell ref="DR34:DU34"/>
    <mergeCell ref="DY34:DZ34"/>
    <mergeCell ref="BC34:BP34"/>
    <mergeCell ref="BQ34:CD34"/>
    <mergeCell ref="CE34:CR34"/>
    <mergeCell ref="CX34:DA34"/>
    <mergeCell ref="DB34:DE34"/>
    <mergeCell ref="ED34:EE34"/>
    <mergeCell ref="M77:Z77"/>
    <mergeCell ref="AA77:AN77"/>
    <mergeCell ref="AO77:BB77"/>
    <mergeCell ref="BC77:BP77"/>
    <mergeCell ref="BQ77:CD77"/>
    <mergeCell ref="CE77:CR77"/>
    <mergeCell ref="CX77:DA77"/>
    <mergeCell ref="DB77:DE77"/>
    <mergeCell ref="DF77:DI77"/>
    <mergeCell ref="DJ77:DM77"/>
    <mergeCell ref="DN77:DQ77"/>
    <mergeCell ref="DR77:DU77"/>
    <mergeCell ref="DY77:DZ77"/>
    <mergeCell ref="ED77:EE77"/>
    <mergeCell ref="DF34:DI34"/>
    <mergeCell ref="AB7:AC8"/>
    <mergeCell ref="AE7:AG7"/>
    <mergeCell ref="A16:B16"/>
    <mergeCell ref="A6:B7"/>
    <mergeCell ref="C6:C7"/>
    <mergeCell ref="D6:F6"/>
    <mergeCell ref="AB6:AC6"/>
    <mergeCell ref="X10:X11"/>
    <mergeCell ref="U14:U15"/>
    <mergeCell ref="T7:V7"/>
    <mergeCell ref="T8:T17"/>
    <mergeCell ref="V10:V11"/>
    <mergeCell ref="W10:W1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R188"/>
  <sheetViews>
    <sheetView topLeftCell="A97" zoomScale="70" zoomScaleNormal="70" workbookViewId="0">
      <selection activeCell="N125" sqref="N125"/>
    </sheetView>
  </sheetViews>
  <sheetFormatPr defaultRowHeight="17"/>
  <cols>
    <col min="1" max="1" width="8.6640625" customWidth="1"/>
    <col min="13" max="13" width="11.9140625" bestFit="1" customWidth="1"/>
    <col min="17" max="17" width="11.75" bestFit="1" customWidth="1"/>
    <col min="22" max="22" width="15.08203125" bestFit="1" customWidth="1"/>
    <col min="46" max="46" width="15.08203125" bestFit="1" customWidth="1"/>
    <col min="142" max="142" width="29.75" bestFit="1" customWidth="1"/>
  </cols>
  <sheetData>
    <row r="1" spans="1:52">
      <c r="A1" s="32" t="s">
        <v>234</v>
      </c>
      <c r="B1" t="s">
        <v>237</v>
      </c>
      <c r="V1" s="32" t="s">
        <v>242</v>
      </c>
      <c r="W1" t="s">
        <v>241</v>
      </c>
    </row>
    <row r="2" spans="1:52">
      <c r="B2" t="s">
        <v>153</v>
      </c>
      <c r="C2" t="s">
        <v>864</v>
      </c>
      <c r="W2" t="s">
        <v>239</v>
      </c>
      <c r="X2" t="s">
        <v>240</v>
      </c>
    </row>
    <row r="3" spans="1:52">
      <c r="W3" t="s">
        <v>238</v>
      </c>
    </row>
    <row r="4" spans="1:52" ht="20.5">
      <c r="AR4" s="364" t="s">
        <v>773</v>
      </c>
      <c r="AZ4" s="364" t="s">
        <v>773</v>
      </c>
    </row>
    <row r="5" spans="1:52" ht="20.5">
      <c r="AP5" s="364" t="s">
        <v>780</v>
      </c>
      <c r="AR5" t="s">
        <v>772</v>
      </c>
    </row>
    <row r="6" spans="1:52">
      <c r="AP6" t="s">
        <v>779</v>
      </c>
      <c r="AR6" t="s">
        <v>776</v>
      </c>
      <c r="AZ6" s="32" t="s">
        <v>777</v>
      </c>
    </row>
    <row r="7" spans="1:52">
      <c r="AO7" t="s">
        <v>781</v>
      </c>
      <c r="AP7" t="s">
        <v>775</v>
      </c>
      <c r="AR7" s="98"/>
      <c r="AS7" s="98" t="s">
        <v>763</v>
      </c>
      <c r="AT7" s="98" t="s">
        <v>764</v>
      </c>
      <c r="AU7" s="363" t="s">
        <v>765</v>
      </c>
      <c r="AV7" s="306" t="s">
        <v>766</v>
      </c>
      <c r="AW7" s="98" t="s">
        <v>767</v>
      </c>
      <c r="AX7" s="98" t="s">
        <v>768</v>
      </c>
      <c r="AZ7" s="368">
        <v>2.8500000000000001E-2</v>
      </c>
    </row>
    <row r="8" spans="1:52">
      <c r="AO8" s="97">
        <f>AP73</f>
        <v>0</v>
      </c>
      <c r="AP8">
        <v>2023</v>
      </c>
      <c r="AR8" s="98"/>
      <c r="AS8" s="98"/>
      <c r="AT8" s="369">
        <v>0</v>
      </c>
      <c r="AU8" s="371">
        <v>1</v>
      </c>
      <c r="AV8" s="370">
        <v>2</v>
      </c>
      <c r="AW8" s="369">
        <v>3</v>
      </c>
      <c r="AX8" s="369">
        <v>4</v>
      </c>
    </row>
    <row r="9" spans="1:52" ht="17.5" thickBot="1">
      <c r="A9" t="s">
        <v>312</v>
      </c>
      <c r="AR9" s="98" t="s">
        <v>769</v>
      </c>
      <c r="AS9" s="98">
        <v>100000</v>
      </c>
      <c r="AT9" s="365">
        <v>0.3</v>
      </c>
      <c r="AU9" s="372">
        <v>0.7</v>
      </c>
      <c r="AV9" s="366">
        <v>0.85</v>
      </c>
      <c r="AW9" s="365">
        <v>0.95</v>
      </c>
      <c r="AX9" s="365">
        <v>1</v>
      </c>
    </row>
    <row r="10" spans="1:52" ht="18" thickTop="1" thickBot="1">
      <c r="A10" s="503" t="s">
        <v>27</v>
      </c>
      <c r="B10" s="505"/>
      <c r="C10" s="125" t="s">
        <v>44</v>
      </c>
      <c r="D10" s="125" t="s">
        <v>45</v>
      </c>
      <c r="E10" s="125" t="s">
        <v>46</v>
      </c>
      <c r="F10" s="126" t="s">
        <v>11</v>
      </c>
      <c r="AR10" s="98" t="s">
        <v>770</v>
      </c>
      <c r="AS10" s="98">
        <v>50000</v>
      </c>
      <c r="AT10" s="365">
        <v>0.5</v>
      </c>
      <c r="AU10" s="372">
        <v>0.8</v>
      </c>
      <c r="AV10" s="366">
        <v>0.9</v>
      </c>
      <c r="AW10" s="365">
        <v>1</v>
      </c>
      <c r="AX10" s="365">
        <v>1</v>
      </c>
    </row>
    <row r="11" spans="1:52" ht="29.5" thickTop="1">
      <c r="A11" s="507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  <c r="AR11" s="306" t="s">
        <v>771</v>
      </c>
      <c r="AS11" s="306">
        <v>49999</v>
      </c>
      <c r="AT11" s="366">
        <v>0.7</v>
      </c>
      <c r="AU11" s="373">
        <v>0.9</v>
      </c>
      <c r="AV11" s="367">
        <v>1</v>
      </c>
      <c r="AW11" s="366">
        <v>1</v>
      </c>
      <c r="AX11" s="366">
        <v>1</v>
      </c>
    </row>
    <row r="12" spans="1:52" ht="29.5" thickBot="1">
      <c r="A12" s="511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52" ht="17.5" thickTop="1"/>
    <row r="16" spans="1:52" ht="18" thickBot="1">
      <c r="A16" s="157" t="s">
        <v>308</v>
      </c>
      <c r="L16" t="s">
        <v>245</v>
      </c>
      <c r="O16" s="157" t="s">
        <v>318</v>
      </c>
      <c r="X16" t="s">
        <v>245</v>
      </c>
    </row>
    <row r="17" spans="1:52" ht="17.5" thickTop="1">
      <c r="A17" s="523" t="s">
        <v>175</v>
      </c>
      <c r="B17" s="524"/>
      <c r="C17" s="524"/>
      <c r="D17" s="524"/>
      <c r="E17" s="525"/>
      <c r="F17" s="479" t="s">
        <v>165</v>
      </c>
      <c r="G17" s="480"/>
      <c r="H17" s="481"/>
      <c r="I17" s="105" t="s">
        <v>284</v>
      </c>
      <c r="J17" s="105" t="s">
        <v>286</v>
      </c>
      <c r="K17" s="105" t="s">
        <v>287</v>
      </c>
      <c r="L17" s="482" t="s">
        <v>21</v>
      </c>
      <c r="O17" s="527" t="s">
        <v>1</v>
      </c>
      <c r="P17" s="531" t="s">
        <v>288</v>
      </c>
      <c r="Q17" s="531"/>
      <c r="R17" s="531"/>
      <c r="S17" s="531"/>
      <c r="T17" s="531"/>
      <c r="U17" s="531"/>
      <c r="V17" s="531"/>
      <c r="W17" s="531"/>
      <c r="X17" s="531" t="s">
        <v>306</v>
      </c>
      <c r="Y17" s="531"/>
      <c r="Z17" s="531"/>
      <c r="AA17" s="531"/>
      <c r="AB17" s="531"/>
      <c r="AC17" s="531"/>
      <c r="AD17" s="531"/>
      <c r="AE17" s="531"/>
      <c r="AJ17" s="527" t="s">
        <v>1</v>
      </c>
      <c r="AK17" s="531" t="s">
        <v>288</v>
      </c>
      <c r="AL17" s="531"/>
      <c r="AM17" s="531"/>
      <c r="AN17" s="531"/>
      <c r="AO17" s="531"/>
      <c r="AP17" s="531"/>
      <c r="AQ17" s="531"/>
      <c r="AR17" s="531"/>
      <c r="AS17" s="531" t="s">
        <v>306</v>
      </c>
      <c r="AT17" s="531"/>
      <c r="AU17" s="531"/>
      <c r="AV17" s="531"/>
      <c r="AW17" s="531"/>
      <c r="AX17" s="531"/>
      <c r="AY17" s="531"/>
      <c r="AZ17" s="531"/>
    </row>
    <row r="18" spans="1:52" ht="17.5" thickBot="1">
      <c r="A18" s="526"/>
      <c r="B18" s="488"/>
      <c r="C18" s="488"/>
      <c r="D18" s="488"/>
      <c r="E18" s="489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83"/>
      <c r="O18" s="527"/>
      <c r="P18" s="520" t="s">
        <v>327</v>
      </c>
      <c r="Q18" s="521"/>
      <c r="R18" s="521"/>
      <c r="S18" s="521"/>
      <c r="T18" s="521"/>
      <c r="U18" s="522"/>
      <c r="V18" s="519" t="s">
        <v>250</v>
      </c>
      <c r="W18" s="519"/>
      <c r="X18" s="520" t="s">
        <v>327</v>
      </c>
      <c r="Y18" s="521"/>
      <c r="Z18" s="521"/>
      <c r="AA18" s="521"/>
      <c r="AB18" s="521"/>
      <c r="AC18" s="522"/>
      <c r="AD18" s="519" t="s">
        <v>250</v>
      </c>
      <c r="AE18" s="519"/>
      <c r="AJ18" s="527"/>
      <c r="AK18" s="520" t="s">
        <v>327</v>
      </c>
      <c r="AL18" s="521"/>
      <c r="AM18" s="521"/>
      <c r="AN18" s="521"/>
      <c r="AO18" s="521"/>
      <c r="AP18" s="522"/>
      <c r="AQ18" s="519" t="s">
        <v>250</v>
      </c>
      <c r="AR18" s="519"/>
      <c r="AS18" s="520" t="s">
        <v>327</v>
      </c>
      <c r="AT18" s="521"/>
      <c r="AU18" s="521"/>
      <c r="AV18" s="521"/>
      <c r="AW18" s="521"/>
      <c r="AX18" s="522"/>
      <c r="AY18" s="519" t="s">
        <v>250</v>
      </c>
      <c r="AZ18" s="519"/>
    </row>
    <row r="19" spans="1:52" ht="18" customHeight="1" thickTop="1">
      <c r="A19" s="507" t="s">
        <v>288</v>
      </c>
      <c r="B19" s="528" t="s">
        <v>26</v>
      </c>
      <c r="C19" s="529"/>
      <c r="D19" s="529"/>
      <c r="E19" s="530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527"/>
      <c r="P19" s="519" t="s">
        <v>325</v>
      </c>
      <c r="Q19" s="519"/>
      <c r="R19" s="519"/>
      <c r="S19" s="519"/>
      <c r="T19" s="519" t="s">
        <v>136</v>
      </c>
      <c r="U19" s="519"/>
      <c r="V19" s="519"/>
      <c r="W19" s="519"/>
      <c r="X19" s="519" t="s">
        <v>325</v>
      </c>
      <c r="Y19" s="519"/>
      <c r="Z19" s="519"/>
      <c r="AA19" s="519"/>
      <c r="AB19" s="519" t="s">
        <v>136</v>
      </c>
      <c r="AC19" s="519"/>
      <c r="AD19" s="519"/>
      <c r="AE19" s="519"/>
      <c r="AJ19" s="527"/>
      <c r="AK19" s="519" t="s">
        <v>325</v>
      </c>
      <c r="AL19" s="519"/>
      <c r="AM19" s="519"/>
      <c r="AN19" s="519"/>
      <c r="AO19" s="519" t="s">
        <v>136</v>
      </c>
      <c r="AP19" s="519"/>
      <c r="AQ19" s="519"/>
      <c r="AR19" s="519"/>
      <c r="AS19" s="519" t="s">
        <v>325</v>
      </c>
      <c r="AT19" s="519"/>
      <c r="AU19" s="519"/>
      <c r="AV19" s="519"/>
      <c r="AW19" s="519" t="s">
        <v>136</v>
      </c>
      <c r="AX19" s="519"/>
      <c r="AY19" s="519"/>
      <c r="AZ19" s="519"/>
    </row>
    <row r="20" spans="1:52">
      <c r="A20" s="508"/>
      <c r="B20" s="300" t="s">
        <v>289</v>
      </c>
      <c r="C20" s="490" t="s">
        <v>11</v>
      </c>
      <c r="D20" s="491"/>
      <c r="E20" s="496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527"/>
      <c r="P20" s="297" t="s">
        <v>314</v>
      </c>
      <c r="Q20" s="297" t="s">
        <v>285</v>
      </c>
      <c r="R20" s="104"/>
      <c r="S20" s="519" t="s">
        <v>166</v>
      </c>
      <c r="T20" s="519" t="s">
        <v>9</v>
      </c>
      <c r="U20" s="519" t="s">
        <v>10</v>
      </c>
      <c r="V20" s="519" t="s">
        <v>9</v>
      </c>
      <c r="W20" s="519" t="s">
        <v>10</v>
      </c>
      <c r="X20" s="297" t="s">
        <v>314</v>
      </c>
      <c r="Y20" s="297" t="s">
        <v>285</v>
      </c>
      <c r="Z20" s="104"/>
      <c r="AA20" s="519" t="s">
        <v>166</v>
      </c>
      <c r="AB20" s="519" t="s">
        <v>9</v>
      </c>
      <c r="AC20" s="519" t="s">
        <v>10</v>
      </c>
      <c r="AD20" s="519" t="s">
        <v>9</v>
      </c>
      <c r="AE20" s="519" t="s">
        <v>10</v>
      </c>
      <c r="AJ20" s="527"/>
      <c r="AK20" s="297" t="s">
        <v>314</v>
      </c>
      <c r="AL20" s="297" t="s">
        <v>285</v>
      </c>
      <c r="AM20" s="104"/>
      <c r="AN20" s="519" t="s">
        <v>166</v>
      </c>
      <c r="AO20" s="519" t="s">
        <v>9</v>
      </c>
      <c r="AP20" s="519" t="s">
        <v>10</v>
      </c>
      <c r="AQ20" s="519" t="s">
        <v>9</v>
      </c>
      <c r="AR20" s="519" t="s">
        <v>10</v>
      </c>
      <c r="AS20" s="297" t="s">
        <v>314</v>
      </c>
      <c r="AT20" s="297" t="s">
        <v>285</v>
      </c>
      <c r="AU20" s="104"/>
      <c r="AV20" s="519" t="s">
        <v>166</v>
      </c>
      <c r="AW20" s="519" t="s">
        <v>9</v>
      </c>
      <c r="AX20" s="519" t="s">
        <v>10</v>
      </c>
      <c r="AY20" s="519" t="s">
        <v>9</v>
      </c>
      <c r="AZ20" s="519" t="s">
        <v>10</v>
      </c>
    </row>
    <row r="21" spans="1:52">
      <c r="A21" s="508"/>
      <c r="B21" s="295" t="s">
        <v>290</v>
      </c>
      <c r="C21" s="300" t="s">
        <v>291</v>
      </c>
      <c r="D21" s="490" t="s">
        <v>292</v>
      </c>
      <c r="E21" s="496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527"/>
      <c r="P21" s="297" t="s">
        <v>44</v>
      </c>
      <c r="Q21" s="297" t="s">
        <v>45</v>
      </c>
      <c r="R21" s="297" t="s">
        <v>46</v>
      </c>
      <c r="S21" s="519"/>
      <c r="T21" s="519"/>
      <c r="U21" s="519"/>
      <c r="V21" s="519"/>
      <c r="W21" s="519"/>
      <c r="X21" s="297" t="s">
        <v>44</v>
      </c>
      <c r="Y21" s="297" t="s">
        <v>45</v>
      </c>
      <c r="Z21" s="297" t="s">
        <v>46</v>
      </c>
      <c r="AA21" s="519"/>
      <c r="AB21" s="519"/>
      <c r="AC21" s="519"/>
      <c r="AD21" s="519"/>
      <c r="AE21" s="519"/>
      <c r="AJ21" s="527"/>
      <c r="AK21" s="297" t="s">
        <v>44</v>
      </c>
      <c r="AL21" s="297" t="s">
        <v>45</v>
      </c>
      <c r="AM21" s="297" t="s">
        <v>46</v>
      </c>
      <c r="AN21" s="519"/>
      <c r="AO21" s="519"/>
      <c r="AP21" s="519"/>
      <c r="AQ21" s="519"/>
      <c r="AR21" s="519"/>
      <c r="AS21" s="297" t="s">
        <v>44</v>
      </c>
      <c r="AT21" s="297" t="s">
        <v>45</v>
      </c>
      <c r="AU21" s="297" t="s">
        <v>46</v>
      </c>
      <c r="AV21" s="519"/>
      <c r="AW21" s="519"/>
      <c r="AX21" s="519"/>
      <c r="AY21" s="519"/>
      <c r="AZ21" s="519"/>
    </row>
    <row r="22" spans="1:52">
      <c r="A22" s="508"/>
      <c r="B22" s="295" t="s">
        <v>19</v>
      </c>
      <c r="C22" s="296" t="s">
        <v>289</v>
      </c>
      <c r="D22" s="490" t="s">
        <v>293</v>
      </c>
      <c r="E22" s="496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298" t="s">
        <v>156</v>
      </c>
      <c r="P22" s="141">
        <f>AK22*0.01</f>
        <v>0.40700000000000003</v>
      </c>
      <c r="Q22" s="141">
        <f t="shared" ref="Q22:AE26" si="0">AL22*0.01</f>
        <v>7.0000000000000007E-2</v>
      </c>
      <c r="R22" s="141">
        <f t="shared" si="0"/>
        <v>0.28199999999999997</v>
      </c>
      <c r="S22" s="141">
        <f t="shared" si="0"/>
        <v>0.253</v>
      </c>
      <c r="T22" s="141">
        <f t="shared" si="0"/>
        <v>0.26600000000000001</v>
      </c>
      <c r="U22" s="141">
        <f t="shared" si="0"/>
        <v>0.28500000000000003</v>
      </c>
      <c r="V22" s="141">
        <f t="shared" si="0"/>
        <v>0.371</v>
      </c>
      <c r="W22" s="141">
        <f t="shared" si="0"/>
        <v>0.34899999999999998</v>
      </c>
      <c r="X22" s="141">
        <f t="shared" si="0"/>
        <v>0.40799999999999997</v>
      </c>
      <c r="Y22" s="141">
        <f t="shared" si="0"/>
        <v>7.0999999999999994E-2</v>
      </c>
      <c r="Z22" s="141">
        <f t="shared" si="0"/>
        <v>0.28399999999999997</v>
      </c>
      <c r="AA22" s="141">
        <f t="shared" si="0"/>
        <v>0.254</v>
      </c>
      <c r="AB22" s="141">
        <f t="shared" si="0"/>
        <v>0.26700000000000002</v>
      </c>
      <c r="AC22" s="141">
        <f t="shared" si="0"/>
        <v>0.28699999999999998</v>
      </c>
      <c r="AD22" s="141">
        <f t="shared" si="0"/>
        <v>0.37200000000000005</v>
      </c>
      <c r="AE22" s="141">
        <f t="shared" si="0"/>
        <v>0.35100000000000003</v>
      </c>
      <c r="AJ22" s="298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508"/>
      <c r="B23" s="112"/>
      <c r="C23" s="300" t="s">
        <v>294</v>
      </c>
      <c r="D23" s="490" t="s">
        <v>292</v>
      </c>
      <c r="E23" s="496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298" t="s">
        <v>157</v>
      </c>
      <c r="P23" s="141">
        <f t="shared" ref="P23:P26" si="1">AK23*0.01</f>
        <v>5.9000000000000004E-2</v>
      </c>
      <c r="Q23" s="141">
        <f t="shared" si="0"/>
        <v>2.4E-2</v>
      </c>
      <c r="R23" s="141">
        <f t="shared" si="0"/>
        <v>7.0000000000000007E-2</v>
      </c>
      <c r="S23" s="141">
        <f t="shared" si="0"/>
        <v>7.400000000000001E-2</v>
      </c>
      <c r="T23" s="141">
        <f t="shared" si="0"/>
        <v>1.9E-2</v>
      </c>
      <c r="U23" s="141">
        <f t="shared" si="0"/>
        <v>3.9E-2</v>
      </c>
      <c r="V23" s="141">
        <f t="shared" si="0"/>
        <v>9.6000000000000002E-2</v>
      </c>
      <c r="W23" s="141">
        <f t="shared" si="0"/>
        <v>9.3000000000000013E-2</v>
      </c>
      <c r="X23" s="141">
        <f t="shared" si="0"/>
        <v>5.9000000000000004E-2</v>
      </c>
      <c r="Y23" s="141">
        <f t="shared" si="0"/>
        <v>2.4E-2</v>
      </c>
      <c r="Z23" s="141">
        <f t="shared" si="0"/>
        <v>7.0999999999999994E-2</v>
      </c>
      <c r="AA23" s="141">
        <f t="shared" si="0"/>
        <v>7.4999999999999997E-2</v>
      </c>
      <c r="AB23" s="141">
        <f t="shared" si="0"/>
        <v>1.9E-2</v>
      </c>
      <c r="AC23" s="141">
        <f t="shared" si="0"/>
        <v>3.9E-2</v>
      </c>
      <c r="AD23" s="141">
        <f t="shared" si="0"/>
        <v>9.6999999999999989E-2</v>
      </c>
      <c r="AE23" s="141">
        <f t="shared" si="0"/>
        <v>9.4E-2</v>
      </c>
      <c r="AJ23" s="298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508"/>
      <c r="B24" s="112"/>
      <c r="C24" s="295" t="s">
        <v>289</v>
      </c>
      <c r="D24" s="515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298" t="s">
        <v>158</v>
      </c>
      <c r="P24" s="141">
        <f t="shared" si="1"/>
        <v>0.40100000000000002</v>
      </c>
      <c r="Q24" s="141">
        <f t="shared" si="0"/>
        <v>0.39100000000000001</v>
      </c>
      <c r="R24" s="141">
        <f t="shared" si="0"/>
        <v>0.40799999999999997</v>
      </c>
      <c r="S24" s="141">
        <f t="shared" si="0"/>
        <v>0.42</v>
      </c>
      <c r="T24" s="141">
        <f t="shared" si="0"/>
        <v>0.55299999999999994</v>
      </c>
      <c r="U24" s="141">
        <f t="shared" si="0"/>
        <v>0.19700000000000001</v>
      </c>
      <c r="V24" s="141">
        <f t="shared" si="0"/>
        <v>0.34799999999999998</v>
      </c>
      <c r="W24" s="141">
        <f t="shared" si="0"/>
        <v>0.35799999999999998</v>
      </c>
      <c r="X24" s="141">
        <f t="shared" si="0"/>
        <v>0.4</v>
      </c>
      <c r="Y24" s="141">
        <f t="shared" si="0"/>
        <v>0.39200000000000002</v>
      </c>
      <c r="Z24" s="141">
        <f t="shared" si="0"/>
        <v>0.40799999999999997</v>
      </c>
      <c r="AA24" s="141">
        <f t="shared" si="0"/>
        <v>0.42</v>
      </c>
      <c r="AB24" s="141">
        <f t="shared" si="0"/>
        <v>0.55299999999999994</v>
      </c>
      <c r="AC24" s="141">
        <f t="shared" si="0"/>
        <v>0.19700000000000001</v>
      </c>
      <c r="AD24" s="141">
        <f t="shared" si="0"/>
        <v>0.34799999999999998</v>
      </c>
      <c r="AE24" s="141">
        <f t="shared" si="0"/>
        <v>0.35700000000000004</v>
      </c>
      <c r="AJ24" s="298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508"/>
      <c r="B25" s="112"/>
      <c r="C25" s="112"/>
      <c r="D25" s="494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298" t="s">
        <v>46</v>
      </c>
      <c r="P25" s="141">
        <f t="shared" si="1"/>
        <v>0.13300000000000001</v>
      </c>
      <c r="Q25" s="141">
        <f t="shared" si="0"/>
        <v>0.51400000000000001</v>
      </c>
      <c r="R25" s="141">
        <f t="shared" si="0"/>
        <v>0.23899999999999999</v>
      </c>
      <c r="S25" s="141">
        <f t="shared" si="0"/>
        <v>0.253</v>
      </c>
      <c r="T25" s="141">
        <f t="shared" si="0"/>
        <v>0.16200000000000001</v>
      </c>
      <c r="U25" s="141">
        <f t="shared" si="0"/>
        <v>0.47899999999999998</v>
      </c>
      <c r="V25" s="141">
        <f t="shared" si="0"/>
        <v>0.185</v>
      </c>
      <c r="W25" s="141">
        <f t="shared" si="0"/>
        <v>0.19899999999999998</v>
      </c>
      <c r="X25" s="141">
        <f t="shared" si="0"/>
        <v>0.13200000000000001</v>
      </c>
      <c r="Y25" s="141">
        <f t="shared" si="0"/>
        <v>0.51300000000000001</v>
      </c>
      <c r="Z25" s="141">
        <f t="shared" si="0"/>
        <v>0.23800000000000002</v>
      </c>
      <c r="AA25" s="141">
        <f t="shared" si="0"/>
        <v>0.251</v>
      </c>
      <c r="AB25" s="141">
        <f t="shared" si="0"/>
        <v>0.161</v>
      </c>
      <c r="AC25" s="141">
        <f t="shared" si="0"/>
        <v>0.47600000000000003</v>
      </c>
      <c r="AD25" s="141">
        <f t="shared" si="0"/>
        <v>0.18300000000000002</v>
      </c>
      <c r="AE25" s="141">
        <f t="shared" si="0"/>
        <v>0.19800000000000001</v>
      </c>
      <c r="AJ25" s="298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508"/>
      <c r="B26" s="112"/>
      <c r="C26" s="112"/>
      <c r="D26" s="495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298" t="s">
        <v>11</v>
      </c>
      <c r="P26" s="141">
        <f t="shared" si="1"/>
        <v>1</v>
      </c>
      <c r="Q26" s="141">
        <f t="shared" si="0"/>
        <v>1</v>
      </c>
      <c r="R26" s="141">
        <f t="shared" si="0"/>
        <v>1</v>
      </c>
      <c r="S26" s="141">
        <f t="shared" si="0"/>
        <v>1</v>
      </c>
      <c r="T26" s="141">
        <f t="shared" si="0"/>
        <v>1</v>
      </c>
      <c r="U26" s="141">
        <f t="shared" si="0"/>
        <v>1</v>
      </c>
      <c r="V26" s="141">
        <f t="shared" si="0"/>
        <v>1</v>
      </c>
      <c r="W26" s="141">
        <f t="shared" si="0"/>
        <v>1</v>
      </c>
      <c r="X26" s="141">
        <f t="shared" si="0"/>
        <v>1</v>
      </c>
      <c r="Y26" s="141">
        <f t="shared" si="0"/>
        <v>1</v>
      </c>
      <c r="Z26" s="141">
        <f t="shared" si="0"/>
        <v>1</v>
      </c>
      <c r="AA26" s="141">
        <f t="shared" si="0"/>
        <v>1</v>
      </c>
      <c r="AB26" s="141">
        <f t="shared" si="0"/>
        <v>1</v>
      </c>
      <c r="AC26" s="141">
        <f t="shared" si="0"/>
        <v>1</v>
      </c>
      <c r="AD26" s="141">
        <f t="shared" si="0"/>
        <v>1</v>
      </c>
      <c r="AE26" s="141">
        <f t="shared" si="0"/>
        <v>1</v>
      </c>
      <c r="AJ26" s="298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508"/>
      <c r="B27" s="112"/>
      <c r="C27" s="112"/>
      <c r="D27" s="30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508"/>
      <c r="B28" s="112"/>
      <c r="C28" s="112"/>
      <c r="D28" s="295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508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508"/>
      <c r="B30" s="113"/>
      <c r="C30" s="490" t="s">
        <v>13</v>
      </c>
      <c r="D30" s="491"/>
      <c r="E30" s="496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508"/>
      <c r="B31" s="300" t="s">
        <v>300</v>
      </c>
      <c r="C31" s="490" t="s">
        <v>301</v>
      </c>
      <c r="D31" s="491"/>
      <c r="E31" s="496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508"/>
      <c r="B32" s="295" t="s">
        <v>20</v>
      </c>
      <c r="C32" s="490" t="s">
        <v>302</v>
      </c>
      <c r="D32" s="491"/>
      <c r="E32" s="496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38">
      <c r="A33" s="508"/>
      <c r="B33" s="295" t="s">
        <v>19</v>
      </c>
      <c r="C33" s="490" t="s">
        <v>303</v>
      </c>
      <c r="D33" s="491"/>
      <c r="E33" s="496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38" ht="17.5" thickBot="1">
      <c r="A34" s="508"/>
      <c r="B34" s="112"/>
      <c r="C34" s="490" t="s">
        <v>304</v>
      </c>
      <c r="D34" s="491"/>
      <c r="E34" s="496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38" ht="18" thickTop="1" thickBot="1">
      <c r="A35" s="508"/>
      <c r="B35" s="112"/>
      <c r="C35" s="490" t="s">
        <v>305</v>
      </c>
      <c r="D35" s="491"/>
      <c r="E35" s="496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503" t="s">
        <v>1</v>
      </c>
      <c r="AD35" s="504"/>
      <c r="AE35" s="504"/>
      <c r="AF35" s="504"/>
      <c r="AG35" s="505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38" ht="18" thickTop="1" thickBot="1">
      <c r="A36" s="511"/>
      <c r="B36" s="119"/>
      <c r="C36" s="501" t="s">
        <v>47</v>
      </c>
      <c r="D36" s="506"/>
      <c r="E36" s="502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507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38" ht="17.5" thickTop="1">
      <c r="A37" s="510" t="s">
        <v>306</v>
      </c>
      <c r="B37" s="512" t="s">
        <v>26</v>
      </c>
      <c r="C37" s="513"/>
      <c r="D37" s="513"/>
      <c r="E37" s="514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508"/>
      <c r="AD37" s="295" t="s">
        <v>19</v>
      </c>
      <c r="AE37" s="295" t="s">
        <v>294</v>
      </c>
      <c r="AF37" s="295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38">
      <c r="A38" s="508"/>
      <c r="B38" s="300" t="s">
        <v>289</v>
      </c>
      <c r="C38" s="490" t="s">
        <v>11</v>
      </c>
      <c r="D38" s="491"/>
      <c r="E38" s="496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508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38">
      <c r="A39" s="508"/>
      <c r="B39" s="295" t="s">
        <v>290</v>
      </c>
      <c r="C39" s="300" t="s">
        <v>291</v>
      </c>
      <c r="D39" s="490" t="s">
        <v>292</v>
      </c>
      <c r="E39" s="496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508"/>
      <c r="AD39" s="112"/>
      <c r="AE39" s="113"/>
      <c r="AF39" s="490" t="s">
        <v>166</v>
      </c>
      <c r="AG39" s="496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38">
      <c r="A40" s="508"/>
      <c r="B40" s="295" t="s">
        <v>19</v>
      </c>
      <c r="C40" s="296" t="s">
        <v>289</v>
      </c>
      <c r="D40" s="490" t="s">
        <v>293</v>
      </c>
      <c r="E40" s="496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508"/>
      <c r="AD40" s="112"/>
      <c r="AE40" s="300" t="s">
        <v>315</v>
      </c>
      <c r="AF40" s="490" t="s">
        <v>9</v>
      </c>
      <c r="AG40" s="496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38">
      <c r="A41" s="508"/>
      <c r="B41" s="112"/>
      <c r="C41" s="300" t="s">
        <v>294</v>
      </c>
      <c r="D41" s="490" t="s">
        <v>292</v>
      </c>
      <c r="E41" s="496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508"/>
      <c r="AD41" s="113"/>
      <c r="AE41" s="296" t="s">
        <v>316</v>
      </c>
      <c r="AF41" s="490" t="s">
        <v>10</v>
      </c>
      <c r="AG41" s="496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38">
      <c r="A42" s="508"/>
      <c r="B42" s="112"/>
      <c r="C42" s="295" t="s">
        <v>289</v>
      </c>
      <c r="D42" s="515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508"/>
      <c r="AD42" s="497" t="s">
        <v>250</v>
      </c>
      <c r="AE42" s="498"/>
      <c r="AF42" s="490" t="s">
        <v>9</v>
      </c>
      <c r="AG42" s="496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38">
      <c r="A43" s="508"/>
      <c r="B43" s="112"/>
      <c r="C43" s="112"/>
      <c r="D43" s="494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09"/>
      <c r="AD43" s="516"/>
      <c r="AE43" s="517"/>
      <c r="AF43" s="490" t="s">
        <v>10</v>
      </c>
      <c r="AG43" s="496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38" ht="29">
      <c r="A44" s="508"/>
      <c r="B44" s="112"/>
      <c r="C44" s="112"/>
      <c r="D44" s="495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18" t="s">
        <v>306</v>
      </c>
      <c r="AD44" s="300" t="s">
        <v>313</v>
      </c>
      <c r="AE44" s="300" t="s">
        <v>291</v>
      </c>
      <c r="AF44" s="30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</row>
    <row r="45" spans="1:38">
      <c r="A45" s="508"/>
      <c r="B45" s="112"/>
      <c r="C45" s="112"/>
      <c r="D45" s="30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508"/>
      <c r="AD45" s="295" t="s">
        <v>19</v>
      </c>
      <c r="AE45" s="295" t="s">
        <v>294</v>
      </c>
      <c r="AF45" s="295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</row>
    <row r="46" spans="1:38" ht="29">
      <c r="A46" s="508"/>
      <c r="B46" s="112"/>
      <c r="C46" s="112"/>
      <c r="D46" s="295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508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</row>
    <row r="47" spans="1:38">
      <c r="A47" s="508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508"/>
      <c r="AD47" s="112"/>
      <c r="AE47" s="113"/>
      <c r="AF47" s="490" t="s">
        <v>166</v>
      </c>
      <c r="AG47" s="496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</row>
    <row r="48" spans="1:38">
      <c r="A48" s="508"/>
      <c r="B48" s="113"/>
      <c r="C48" s="490" t="s">
        <v>13</v>
      </c>
      <c r="D48" s="491"/>
      <c r="E48" s="496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508"/>
      <c r="AD48" s="112"/>
      <c r="AE48" s="300" t="s">
        <v>315</v>
      </c>
      <c r="AF48" s="490" t="s">
        <v>9</v>
      </c>
      <c r="AG48" s="496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</row>
    <row r="49" spans="1:49">
      <c r="A49" s="508"/>
      <c r="B49" s="300" t="s">
        <v>300</v>
      </c>
      <c r="C49" s="490" t="s">
        <v>301</v>
      </c>
      <c r="D49" s="491"/>
      <c r="E49" s="496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508"/>
      <c r="AD49" s="113"/>
      <c r="AE49" s="296" t="s">
        <v>316</v>
      </c>
      <c r="AF49" s="490" t="s">
        <v>10</v>
      </c>
      <c r="AG49" s="496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</row>
    <row r="50" spans="1:49">
      <c r="A50" s="508"/>
      <c r="B50" s="295" t="s">
        <v>20</v>
      </c>
      <c r="C50" s="490" t="s">
        <v>302</v>
      </c>
      <c r="D50" s="491"/>
      <c r="E50" s="496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508"/>
      <c r="AD50" s="497" t="s">
        <v>250</v>
      </c>
      <c r="AE50" s="498"/>
      <c r="AF50" s="490" t="s">
        <v>9</v>
      </c>
      <c r="AG50" s="496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</row>
    <row r="51" spans="1:49" ht="17.5" thickBot="1">
      <c r="A51" s="508"/>
      <c r="B51" s="295" t="s">
        <v>19</v>
      </c>
      <c r="C51" s="490" t="s">
        <v>303</v>
      </c>
      <c r="D51" s="491"/>
      <c r="E51" s="496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511"/>
      <c r="AD51" s="499"/>
      <c r="AE51" s="500"/>
      <c r="AF51" s="501" t="s">
        <v>10</v>
      </c>
      <c r="AG51" s="502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</row>
    <row r="52" spans="1:49" ht="17.5" thickTop="1">
      <c r="A52" s="508"/>
      <c r="B52" s="112"/>
      <c r="C52" s="490" t="s">
        <v>304</v>
      </c>
      <c r="D52" s="491"/>
      <c r="E52" s="496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</row>
    <row r="53" spans="1:49">
      <c r="A53" s="508"/>
      <c r="B53" s="112"/>
      <c r="C53" s="490" t="s">
        <v>305</v>
      </c>
      <c r="D53" s="491"/>
      <c r="E53" s="496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</row>
    <row r="54" spans="1:49" ht="17.5" thickBot="1">
      <c r="A54" s="511"/>
      <c r="B54" s="119"/>
      <c r="C54" s="501" t="s">
        <v>47</v>
      </c>
      <c r="D54" s="506"/>
      <c r="E54" s="502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</row>
    <row r="55" spans="1:49" ht="17.5" thickTop="1">
      <c r="AU55" t="s">
        <v>147</v>
      </c>
      <c r="AV55" t="s">
        <v>148</v>
      </c>
      <c r="AW55" s="32" t="s">
        <v>74</v>
      </c>
    </row>
    <row r="56" spans="1:49" ht="23">
      <c r="A56" s="154" t="s">
        <v>333</v>
      </c>
      <c r="AU56" t="s">
        <v>656</v>
      </c>
      <c r="AV56" t="s">
        <v>642</v>
      </c>
      <c r="AW56" s="75">
        <v>8014.2473</v>
      </c>
    </row>
    <row r="57" spans="1:49">
      <c r="A57" s="32" t="s">
        <v>664</v>
      </c>
      <c r="AU57" t="s">
        <v>135</v>
      </c>
      <c r="AV57" t="s">
        <v>217</v>
      </c>
      <c r="AW57" s="75">
        <v>5231.5074000000004</v>
      </c>
    </row>
    <row r="58" spans="1:49" ht="18" customHeight="1" thickBot="1">
      <c r="L58" t="s">
        <v>665</v>
      </c>
      <c r="Q58" t="s">
        <v>666</v>
      </c>
      <c r="AU58" t="s">
        <v>656</v>
      </c>
      <c r="AV58" t="s">
        <v>359</v>
      </c>
      <c r="AW58" s="75">
        <v>5055.2204000000002</v>
      </c>
    </row>
    <row r="59" spans="1:49" ht="17.5" thickTop="1">
      <c r="A59" s="484" t="s">
        <v>175</v>
      </c>
      <c r="B59" s="485"/>
      <c r="C59" s="485"/>
      <c r="D59" s="485"/>
      <c r="E59" s="486"/>
      <c r="F59" s="479" t="s">
        <v>165</v>
      </c>
      <c r="G59" s="480"/>
      <c r="H59" s="481"/>
      <c r="I59" s="105" t="s">
        <v>284</v>
      </c>
      <c r="J59" s="105" t="s">
        <v>286</v>
      </c>
      <c r="K59" s="105" t="s">
        <v>287</v>
      </c>
      <c r="L59" s="482" t="s">
        <v>21</v>
      </c>
      <c r="Q59" s="484" t="s">
        <v>175</v>
      </c>
      <c r="R59" s="485"/>
      <c r="S59" s="485"/>
      <c r="T59" s="485"/>
      <c r="U59" s="486"/>
      <c r="V59" s="479" t="s">
        <v>165</v>
      </c>
      <c r="W59" s="480"/>
      <c r="X59" s="481"/>
      <c r="Y59" s="105" t="s">
        <v>284</v>
      </c>
      <c r="Z59" s="105" t="s">
        <v>286</v>
      </c>
      <c r="AA59" s="105" t="s">
        <v>287</v>
      </c>
      <c r="AB59" s="482" t="s">
        <v>21</v>
      </c>
      <c r="AU59" t="s">
        <v>643</v>
      </c>
      <c r="AV59" t="s">
        <v>360</v>
      </c>
      <c r="AW59" s="75">
        <v>6559.1377000000002</v>
      </c>
    </row>
    <row r="60" spans="1:49" ht="17.5" thickBot="1">
      <c r="A60" s="487"/>
      <c r="B60" s="488"/>
      <c r="C60" s="488"/>
      <c r="D60" s="488"/>
      <c r="E60" s="489"/>
      <c r="F60" s="107" t="s">
        <v>44</v>
      </c>
      <c r="G60" s="107" t="s">
        <v>45</v>
      </c>
      <c r="H60" s="107" t="s">
        <v>46</v>
      </c>
      <c r="I60" s="106" t="s">
        <v>285</v>
      </c>
      <c r="J60" s="106" t="s">
        <v>285</v>
      </c>
      <c r="K60" s="106" t="s">
        <v>285</v>
      </c>
      <c r="L60" s="483"/>
      <c r="Q60" s="487"/>
      <c r="R60" s="488"/>
      <c r="S60" s="488"/>
      <c r="T60" s="488"/>
      <c r="U60" s="489"/>
      <c r="V60" s="107" t="s">
        <v>44</v>
      </c>
      <c r="W60" s="107" t="s">
        <v>45</v>
      </c>
      <c r="X60" s="107" t="s">
        <v>46</v>
      </c>
      <c r="Y60" s="106" t="s">
        <v>285</v>
      </c>
      <c r="Z60" s="106" t="s">
        <v>285</v>
      </c>
      <c r="AA60" s="106" t="s">
        <v>285</v>
      </c>
      <c r="AB60" s="483"/>
      <c r="AU60" t="s">
        <v>135</v>
      </c>
      <c r="AV60" t="s">
        <v>361</v>
      </c>
      <c r="AW60" s="75">
        <v>8261.5616000000009</v>
      </c>
    </row>
    <row r="61" spans="1:49" ht="37" thickTop="1">
      <c r="A61" s="145">
        <v>2023</v>
      </c>
      <c r="B61" s="300" t="s">
        <v>289</v>
      </c>
      <c r="C61" s="300"/>
      <c r="D61" s="490" t="s">
        <v>135</v>
      </c>
      <c r="E61" s="491"/>
      <c r="F61" s="97">
        <f t="shared" ref="F61:K61" si="2">F21</f>
        <v>437</v>
      </c>
      <c r="G61" s="97">
        <f t="shared" si="2"/>
        <v>130</v>
      </c>
      <c r="H61" s="97">
        <f t="shared" si="2"/>
        <v>499</v>
      </c>
      <c r="I61" s="97">
        <f t="shared" si="2"/>
        <v>448</v>
      </c>
      <c r="J61" s="97">
        <f t="shared" si="2"/>
        <v>0</v>
      </c>
      <c r="K61" s="97">
        <f t="shared" si="2"/>
        <v>0</v>
      </c>
      <c r="L61" s="97">
        <f>L21</f>
        <v>1515</v>
      </c>
      <c r="Q61" s="328">
        <v>2023</v>
      </c>
      <c r="R61" s="312" t="s">
        <v>289</v>
      </c>
      <c r="T61" t="s">
        <v>135</v>
      </c>
      <c r="U61" t="s">
        <v>135</v>
      </c>
      <c r="V61" s="97">
        <f>F61/2</f>
        <v>218.5</v>
      </c>
      <c r="W61" s="97">
        <f t="shared" ref="W61:W72" si="3">G61/2</f>
        <v>65</v>
      </c>
      <c r="X61" s="97">
        <f t="shared" ref="X61:X72" si="4">H61/2</f>
        <v>249.5</v>
      </c>
      <c r="Y61" s="97"/>
      <c r="Z61" s="97">
        <f t="shared" ref="Z61:Z72" si="5">J61/2</f>
        <v>0</v>
      </c>
      <c r="AA61" s="97"/>
      <c r="AB61" s="97">
        <f>SUM(V61:X61,Z61)</f>
        <v>533</v>
      </c>
      <c r="AU61" t="s">
        <v>135</v>
      </c>
      <c r="AV61" t="s">
        <v>362</v>
      </c>
      <c r="AW61" s="75">
        <v>22890.217400000001</v>
      </c>
    </row>
    <row r="62" spans="1:49">
      <c r="A62" s="145"/>
      <c r="B62" s="295" t="s">
        <v>290</v>
      </c>
      <c r="C62" s="112"/>
      <c r="D62" s="494" t="s">
        <v>322</v>
      </c>
      <c r="E62" s="41" t="s">
        <v>296</v>
      </c>
      <c r="F62" s="97">
        <f t="shared" ref="F62:K62" si="6">F25</f>
        <v>9511</v>
      </c>
      <c r="G62" s="97">
        <f t="shared" si="6"/>
        <v>2841</v>
      </c>
      <c r="H62" s="97">
        <f t="shared" si="6"/>
        <v>10863</v>
      </c>
      <c r="I62" s="97">
        <f t="shared" si="6"/>
        <v>12097</v>
      </c>
      <c r="J62" s="97">
        <f t="shared" si="6"/>
        <v>0</v>
      </c>
      <c r="K62" s="97">
        <f t="shared" si="6"/>
        <v>0</v>
      </c>
      <c r="L62" s="97">
        <f>L25</f>
        <v>35312</v>
      </c>
      <c r="Q62" s="145"/>
      <c r="R62" s="311" t="s">
        <v>290</v>
      </c>
      <c r="T62" t="s">
        <v>322</v>
      </c>
      <c r="U62" t="s">
        <v>667</v>
      </c>
      <c r="V62" s="97">
        <f t="shared" ref="V62:V72" si="7">F62/2</f>
        <v>4755.5</v>
      </c>
      <c r="W62" s="97">
        <f t="shared" si="3"/>
        <v>1420.5</v>
      </c>
      <c r="X62" s="97">
        <f t="shared" si="4"/>
        <v>5431.5</v>
      </c>
      <c r="Y62" s="97"/>
      <c r="Z62" s="97">
        <f t="shared" si="5"/>
        <v>0</v>
      </c>
      <c r="AA62" s="97"/>
      <c r="AB62" s="97">
        <f t="shared" ref="AB62:AB73" si="8">SUM(V62:X62,Z62)</f>
        <v>11607.5</v>
      </c>
      <c r="AU62" t="s">
        <v>643</v>
      </c>
      <c r="AV62" t="s">
        <v>363</v>
      </c>
      <c r="AW62" s="75">
        <v>10963.124400000001</v>
      </c>
    </row>
    <row r="63" spans="1:49" ht="29">
      <c r="A63" s="145"/>
      <c r="B63" s="295" t="s">
        <v>19</v>
      </c>
      <c r="C63" s="112"/>
      <c r="D63" s="495"/>
      <c r="E63" s="41" t="s">
        <v>297</v>
      </c>
      <c r="F63" s="97">
        <f t="shared" ref="F63:K63" si="9">F26</f>
        <v>7149</v>
      </c>
      <c r="G63" s="97">
        <f t="shared" si="9"/>
        <v>2136</v>
      </c>
      <c r="H63" s="97">
        <f t="shared" si="9"/>
        <v>8165</v>
      </c>
      <c r="I63" s="97">
        <f t="shared" si="9"/>
        <v>7340</v>
      </c>
      <c r="J63" s="97">
        <f t="shared" si="9"/>
        <v>0</v>
      </c>
      <c r="K63" s="97">
        <f t="shared" si="9"/>
        <v>0</v>
      </c>
      <c r="L63" s="97">
        <f>L26</f>
        <v>24790</v>
      </c>
      <c r="Q63" s="145"/>
      <c r="R63" s="311" t="s">
        <v>19</v>
      </c>
      <c r="U63" t="s">
        <v>669</v>
      </c>
      <c r="V63" s="97">
        <f t="shared" si="7"/>
        <v>3574.5</v>
      </c>
      <c r="W63" s="97">
        <f t="shared" si="3"/>
        <v>1068</v>
      </c>
      <c r="X63" s="97">
        <f t="shared" si="4"/>
        <v>4082.5</v>
      </c>
      <c r="Y63" s="97"/>
      <c r="Z63" s="97">
        <f t="shared" si="5"/>
        <v>0</v>
      </c>
      <c r="AA63" s="97"/>
      <c r="AB63" s="97">
        <f t="shared" si="8"/>
        <v>8725</v>
      </c>
      <c r="AU63" t="s">
        <v>644</v>
      </c>
      <c r="AV63" t="s">
        <v>75</v>
      </c>
      <c r="AW63" s="75">
        <v>26312.316800000001</v>
      </c>
    </row>
    <row r="64" spans="1:49" ht="16.5" customHeight="1">
      <c r="A64" s="145"/>
      <c r="B64" s="112"/>
      <c r="C64" s="112"/>
      <c r="D64" s="295" t="s">
        <v>197</v>
      </c>
      <c r="E64" s="41" t="s">
        <v>297</v>
      </c>
      <c r="F64" s="97">
        <f t="shared" ref="F64:K64" si="10">F28</f>
        <v>1150</v>
      </c>
      <c r="G64" s="97">
        <f t="shared" si="10"/>
        <v>343</v>
      </c>
      <c r="H64" s="97">
        <f t="shared" si="10"/>
        <v>1313</v>
      </c>
      <c r="I64" s="97">
        <f t="shared" si="10"/>
        <v>1181</v>
      </c>
      <c r="J64" s="97">
        <f t="shared" si="10"/>
        <v>0</v>
      </c>
      <c r="K64" s="97">
        <f t="shared" si="10"/>
        <v>0</v>
      </c>
      <c r="L64" s="97">
        <f t="shared" ref="L64:L72" si="11">L28</f>
        <v>3987</v>
      </c>
      <c r="Q64" s="145"/>
      <c r="R64" s="112"/>
      <c r="T64" t="s">
        <v>197</v>
      </c>
      <c r="U64" t="s">
        <v>671</v>
      </c>
      <c r="V64" s="97">
        <f t="shared" si="7"/>
        <v>575</v>
      </c>
      <c r="W64" s="97">
        <f t="shared" si="3"/>
        <v>171.5</v>
      </c>
      <c r="X64" s="97">
        <f t="shared" si="4"/>
        <v>656.5</v>
      </c>
      <c r="Y64" s="97"/>
      <c r="Z64" s="97">
        <f t="shared" si="5"/>
        <v>0</v>
      </c>
      <c r="AA64" s="97"/>
      <c r="AB64" s="97">
        <f t="shared" si="8"/>
        <v>1403</v>
      </c>
      <c r="AU64" t="s">
        <v>370</v>
      </c>
      <c r="AV64" t="s">
        <v>76</v>
      </c>
      <c r="AW64" s="75">
        <v>25868.347099999999</v>
      </c>
    </row>
    <row r="65" spans="1:49">
      <c r="A65" s="145"/>
      <c r="B65" s="112"/>
      <c r="C65" s="113"/>
      <c r="D65" s="113"/>
      <c r="E65" s="41" t="s">
        <v>299</v>
      </c>
      <c r="F65" s="97">
        <f t="shared" ref="F65:K65" si="12">F29</f>
        <v>2012</v>
      </c>
      <c r="G65" s="97">
        <f t="shared" si="12"/>
        <v>601</v>
      </c>
      <c r="H65" s="97">
        <f t="shared" si="12"/>
        <v>2298</v>
      </c>
      <c r="I65" s="97">
        <f t="shared" si="12"/>
        <v>2066</v>
      </c>
      <c r="J65" s="97">
        <f t="shared" si="12"/>
        <v>0</v>
      </c>
      <c r="K65" s="97">
        <f t="shared" si="12"/>
        <v>0</v>
      </c>
      <c r="L65" s="97">
        <f t="shared" si="11"/>
        <v>6977</v>
      </c>
      <c r="Q65" s="145"/>
      <c r="R65" s="112"/>
      <c r="U65" t="s">
        <v>674</v>
      </c>
      <c r="V65" s="97">
        <f t="shared" si="7"/>
        <v>1006</v>
      </c>
      <c r="W65" s="97">
        <f t="shared" si="3"/>
        <v>300.5</v>
      </c>
      <c r="X65" s="97">
        <f t="shared" si="4"/>
        <v>1149</v>
      </c>
      <c r="Y65" s="97"/>
      <c r="Z65" s="97">
        <f t="shared" si="5"/>
        <v>0</v>
      </c>
      <c r="AA65" s="97"/>
      <c r="AB65" s="97">
        <f t="shared" si="8"/>
        <v>2455.5</v>
      </c>
      <c r="AU65" t="s">
        <v>657</v>
      </c>
      <c r="AV65" t="s">
        <v>220</v>
      </c>
      <c r="AW65" s="75">
        <v>51875.97</v>
      </c>
    </row>
    <row r="66" spans="1:49" ht="17" customHeight="1">
      <c r="A66" s="145"/>
      <c r="B66" s="113"/>
      <c r="C66" s="490" t="s">
        <v>13</v>
      </c>
      <c r="D66" s="491"/>
      <c r="E66" s="491"/>
      <c r="F66" s="97">
        <f t="shared" ref="F66:K66" si="13">F30</f>
        <v>0</v>
      </c>
      <c r="G66" s="97">
        <f t="shared" si="13"/>
        <v>0</v>
      </c>
      <c r="H66" s="97">
        <f t="shared" si="13"/>
        <v>0</v>
      </c>
      <c r="I66" s="97">
        <f t="shared" si="13"/>
        <v>0</v>
      </c>
      <c r="J66" s="97">
        <f t="shared" si="13"/>
        <v>1639</v>
      </c>
      <c r="K66" s="97">
        <f t="shared" si="13"/>
        <v>17657</v>
      </c>
      <c r="L66" s="97">
        <f t="shared" si="11"/>
        <v>19297</v>
      </c>
      <c r="Q66" s="145"/>
      <c r="R66" s="113"/>
      <c r="S66" t="s">
        <v>13</v>
      </c>
      <c r="U66" t="s">
        <v>13</v>
      </c>
      <c r="V66" s="97">
        <f t="shared" si="7"/>
        <v>0</v>
      </c>
      <c r="W66" s="97">
        <f t="shared" si="3"/>
        <v>0</v>
      </c>
      <c r="X66" s="97">
        <f t="shared" si="4"/>
        <v>0</v>
      </c>
      <c r="Y66" s="97"/>
      <c r="Z66" s="97">
        <f t="shared" si="5"/>
        <v>819.5</v>
      </c>
      <c r="AA66" s="97"/>
      <c r="AB66" s="97">
        <f t="shared" si="8"/>
        <v>819.5</v>
      </c>
      <c r="AU66" t="s">
        <v>644</v>
      </c>
      <c r="AV66" t="s">
        <v>221</v>
      </c>
      <c r="AW66" s="75">
        <v>22244.514299999999</v>
      </c>
    </row>
    <row r="67" spans="1:49" ht="17" customHeight="1">
      <c r="A67" s="145"/>
      <c r="B67" s="300" t="s">
        <v>300</v>
      </c>
      <c r="C67" s="490" t="s">
        <v>301</v>
      </c>
      <c r="D67" s="491"/>
      <c r="E67" s="491"/>
      <c r="F67" s="97">
        <f t="shared" ref="F67:K67" si="14">F31</f>
        <v>0</v>
      </c>
      <c r="G67" s="97">
        <f t="shared" si="14"/>
        <v>0</v>
      </c>
      <c r="H67" s="97">
        <f t="shared" si="14"/>
        <v>0</v>
      </c>
      <c r="I67" s="97">
        <f t="shared" si="14"/>
        <v>0</v>
      </c>
      <c r="J67" s="97">
        <f t="shared" si="14"/>
        <v>28783</v>
      </c>
      <c r="K67" s="97">
        <f t="shared" si="14"/>
        <v>110819</v>
      </c>
      <c r="L67" s="97">
        <f t="shared" si="11"/>
        <v>139602</v>
      </c>
      <c r="Q67" s="145"/>
      <c r="R67" s="312" t="s">
        <v>300</v>
      </c>
      <c r="S67" t="s">
        <v>301</v>
      </c>
      <c r="U67" t="s">
        <v>301</v>
      </c>
      <c r="V67" s="97">
        <f t="shared" si="7"/>
        <v>0</v>
      </c>
      <c r="W67" s="97">
        <f t="shared" si="3"/>
        <v>0</v>
      </c>
      <c r="X67" s="97">
        <f t="shared" si="4"/>
        <v>0</v>
      </c>
      <c r="Y67" s="97"/>
      <c r="Z67" s="97">
        <f t="shared" si="5"/>
        <v>14391.5</v>
      </c>
      <c r="AA67" s="97"/>
      <c r="AB67" s="97">
        <f t="shared" si="8"/>
        <v>14391.5</v>
      </c>
      <c r="AU67" t="s">
        <v>370</v>
      </c>
      <c r="AV67" t="s">
        <v>372</v>
      </c>
      <c r="AW67" s="75">
        <v>20007.53</v>
      </c>
    </row>
    <row r="68" spans="1:49" ht="16.5" customHeight="1">
      <c r="A68" s="145"/>
      <c r="B68" s="295" t="s">
        <v>20</v>
      </c>
      <c r="C68" s="490" t="s">
        <v>302</v>
      </c>
      <c r="D68" s="491"/>
      <c r="E68" s="491"/>
      <c r="F68" s="97">
        <f t="shared" ref="F68:K68" si="15">F32</f>
        <v>0</v>
      </c>
      <c r="G68" s="97">
        <f t="shared" si="15"/>
        <v>0</v>
      </c>
      <c r="H68" s="97">
        <f t="shared" si="15"/>
        <v>0</v>
      </c>
      <c r="I68" s="97">
        <f t="shared" si="15"/>
        <v>0</v>
      </c>
      <c r="J68" s="97">
        <f t="shared" si="15"/>
        <v>343</v>
      </c>
      <c r="K68" s="97">
        <f t="shared" si="15"/>
        <v>363</v>
      </c>
      <c r="L68" s="97">
        <f t="shared" si="11"/>
        <v>706</v>
      </c>
      <c r="Q68" s="145"/>
      <c r="R68" s="311" t="s">
        <v>20</v>
      </c>
      <c r="S68" t="s">
        <v>302</v>
      </c>
      <c r="U68" t="s">
        <v>302</v>
      </c>
      <c r="V68" s="97">
        <f t="shared" si="7"/>
        <v>0</v>
      </c>
      <c r="W68" s="97">
        <f t="shared" si="3"/>
        <v>0</v>
      </c>
      <c r="X68" s="97">
        <f t="shared" si="4"/>
        <v>0</v>
      </c>
      <c r="Y68" s="97"/>
      <c r="Z68" s="97">
        <f t="shared" si="5"/>
        <v>171.5</v>
      </c>
      <c r="AA68" s="97"/>
      <c r="AB68" s="97">
        <f t="shared" si="8"/>
        <v>171.5</v>
      </c>
      <c r="AU68" s="163" t="s">
        <v>668</v>
      </c>
      <c r="AV68" t="s">
        <v>373</v>
      </c>
      <c r="AW68" s="75">
        <v>78804.9424</v>
      </c>
    </row>
    <row r="69" spans="1:49" ht="17.25" customHeight="1">
      <c r="A69" s="145"/>
      <c r="B69" s="295" t="s">
        <v>19</v>
      </c>
      <c r="C69" s="490" t="s">
        <v>303</v>
      </c>
      <c r="D69" s="491"/>
      <c r="E69" s="491"/>
      <c r="F69" s="97">
        <f t="shared" ref="F69:K69" si="16">F33</f>
        <v>0</v>
      </c>
      <c r="G69" s="97">
        <f t="shared" si="16"/>
        <v>0</v>
      </c>
      <c r="H69" s="97">
        <f t="shared" si="16"/>
        <v>0</v>
      </c>
      <c r="I69" s="97">
        <f t="shared" si="16"/>
        <v>0</v>
      </c>
      <c r="J69" s="97">
        <f t="shared" si="16"/>
        <v>607</v>
      </c>
      <c r="K69" s="97">
        <f t="shared" si="16"/>
        <v>7659</v>
      </c>
      <c r="L69" s="97">
        <f t="shared" si="11"/>
        <v>8266</v>
      </c>
      <c r="Q69" s="145"/>
      <c r="R69" s="311" t="s">
        <v>19</v>
      </c>
      <c r="S69" t="s">
        <v>303</v>
      </c>
      <c r="U69" t="s">
        <v>303</v>
      </c>
      <c r="V69" s="97">
        <f t="shared" si="7"/>
        <v>0</v>
      </c>
      <c r="W69" s="97">
        <f t="shared" si="3"/>
        <v>0</v>
      </c>
      <c r="X69" s="97">
        <f t="shared" si="4"/>
        <v>0</v>
      </c>
      <c r="Y69" s="97"/>
      <c r="Z69" s="97">
        <f t="shared" si="5"/>
        <v>303.5</v>
      </c>
      <c r="AA69" s="97"/>
      <c r="AB69" s="97">
        <f t="shared" si="8"/>
        <v>303.5</v>
      </c>
      <c r="AU69" t="s">
        <v>375</v>
      </c>
      <c r="AV69" t="s">
        <v>78</v>
      </c>
      <c r="AW69" s="75">
        <v>70189.171300000002</v>
      </c>
    </row>
    <row r="70" spans="1:49">
      <c r="A70" s="145"/>
      <c r="B70" s="112"/>
      <c r="C70" s="490" t="s">
        <v>304</v>
      </c>
      <c r="D70" s="491"/>
      <c r="E70" s="491"/>
      <c r="F70" s="97">
        <f t="shared" ref="F70:K70" si="17">F34</f>
        <v>0</v>
      </c>
      <c r="G70" s="97">
        <f t="shared" si="17"/>
        <v>0</v>
      </c>
      <c r="H70" s="97">
        <f t="shared" si="17"/>
        <v>0</v>
      </c>
      <c r="I70" s="97">
        <f t="shared" si="17"/>
        <v>0</v>
      </c>
      <c r="J70" s="97">
        <f t="shared" si="17"/>
        <v>56</v>
      </c>
      <c r="K70" s="97">
        <f t="shared" si="17"/>
        <v>0</v>
      </c>
      <c r="L70" s="97">
        <f t="shared" si="11"/>
        <v>56</v>
      </c>
      <c r="Q70" s="145"/>
      <c r="R70" s="112"/>
      <c r="S70" t="s">
        <v>304</v>
      </c>
      <c r="U70" t="s">
        <v>304</v>
      </c>
      <c r="V70" s="97">
        <f t="shared" si="7"/>
        <v>0</v>
      </c>
      <c r="W70" s="97">
        <f t="shared" si="3"/>
        <v>0</v>
      </c>
      <c r="X70" s="97">
        <f t="shared" si="4"/>
        <v>0</v>
      </c>
      <c r="Y70" s="97"/>
      <c r="Z70" s="97">
        <f t="shared" si="5"/>
        <v>28</v>
      </c>
      <c r="AA70" s="97"/>
      <c r="AB70" s="97">
        <f t="shared" si="8"/>
        <v>28</v>
      </c>
      <c r="AU70" t="s">
        <v>653</v>
      </c>
      <c r="AV70" t="s">
        <v>79</v>
      </c>
      <c r="AW70" s="75">
        <v>51949.691800000001</v>
      </c>
    </row>
    <row r="71" spans="1:49" ht="17" customHeight="1">
      <c r="A71" s="145"/>
      <c r="B71" s="112"/>
      <c r="C71" s="490" t="s">
        <v>305</v>
      </c>
      <c r="D71" s="491"/>
      <c r="E71" s="491"/>
      <c r="F71" s="97">
        <f t="shared" ref="F71:K71" si="18">F35</f>
        <v>0</v>
      </c>
      <c r="G71" s="97">
        <f t="shared" si="18"/>
        <v>0</v>
      </c>
      <c r="H71" s="97">
        <f t="shared" si="18"/>
        <v>0</v>
      </c>
      <c r="I71" s="97">
        <f t="shared" si="18"/>
        <v>0</v>
      </c>
      <c r="J71" s="97">
        <f t="shared" si="18"/>
        <v>173</v>
      </c>
      <c r="K71" s="97">
        <f t="shared" si="18"/>
        <v>2238</v>
      </c>
      <c r="L71" s="97">
        <f t="shared" si="11"/>
        <v>2411</v>
      </c>
      <c r="Q71" s="145"/>
      <c r="R71" s="112"/>
      <c r="S71" t="s">
        <v>305</v>
      </c>
      <c r="U71" t="s">
        <v>675</v>
      </c>
      <c r="V71" s="97">
        <f t="shared" si="7"/>
        <v>0</v>
      </c>
      <c r="W71" s="97">
        <f t="shared" si="3"/>
        <v>0</v>
      </c>
      <c r="X71" s="97">
        <f t="shared" si="4"/>
        <v>0</v>
      </c>
      <c r="Y71" s="97"/>
      <c r="Z71" s="97">
        <f t="shared" si="5"/>
        <v>86.5</v>
      </c>
      <c r="AA71" s="97"/>
      <c r="AB71" s="97">
        <f t="shared" si="8"/>
        <v>86.5</v>
      </c>
      <c r="AU71" t="s">
        <v>658</v>
      </c>
      <c r="AV71" t="s">
        <v>223</v>
      </c>
      <c r="AW71" s="75">
        <v>40441.3442</v>
      </c>
    </row>
    <row r="72" spans="1:49" ht="17.5" customHeight="1" thickBot="1">
      <c r="A72" s="146"/>
      <c r="B72" s="147"/>
      <c r="C72" s="492" t="s">
        <v>47</v>
      </c>
      <c r="D72" s="493"/>
      <c r="E72" s="493"/>
      <c r="F72" s="97">
        <f t="shared" ref="F72:K72" si="19">F36</f>
        <v>0</v>
      </c>
      <c r="G72" s="97">
        <f t="shared" si="19"/>
        <v>0</v>
      </c>
      <c r="H72" s="97">
        <f t="shared" si="19"/>
        <v>0</v>
      </c>
      <c r="I72" s="97">
        <f t="shared" si="19"/>
        <v>0</v>
      </c>
      <c r="J72" s="97">
        <f t="shared" si="19"/>
        <v>14989</v>
      </c>
      <c r="K72" s="97">
        <f t="shared" si="19"/>
        <v>46691</v>
      </c>
      <c r="L72" s="97">
        <f t="shared" si="11"/>
        <v>61681</v>
      </c>
      <c r="Q72" s="146"/>
      <c r="R72" s="147"/>
      <c r="S72" t="s">
        <v>47</v>
      </c>
      <c r="U72" t="s">
        <v>47</v>
      </c>
      <c r="V72" s="97">
        <f t="shared" si="7"/>
        <v>0</v>
      </c>
      <c r="W72" s="97">
        <f t="shared" si="3"/>
        <v>0</v>
      </c>
      <c r="X72" s="97">
        <f t="shared" si="4"/>
        <v>0</v>
      </c>
      <c r="Y72" s="97"/>
      <c r="Z72" s="97">
        <f t="shared" si="5"/>
        <v>7494.5</v>
      </c>
      <c r="AA72" s="97"/>
      <c r="AB72" s="97">
        <f t="shared" si="8"/>
        <v>7494.5</v>
      </c>
      <c r="AU72" s="163" t="s">
        <v>672</v>
      </c>
      <c r="AV72" t="s">
        <v>85</v>
      </c>
      <c r="AW72" s="75">
        <v>53247.161800000002</v>
      </c>
    </row>
    <row r="73" spans="1:49">
      <c r="L73" s="97">
        <f>SUM(L61:L72)</f>
        <v>304600</v>
      </c>
      <c r="U73" t="s">
        <v>677</v>
      </c>
      <c r="V73" s="97">
        <f t="shared" ref="V73:X73" si="20">SUM(V61:V72)</f>
        <v>10129.5</v>
      </c>
      <c r="W73" s="97">
        <f t="shared" si="20"/>
        <v>3025.5</v>
      </c>
      <c r="X73" s="97">
        <f t="shared" si="20"/>
        <v>11569</v>
      </c>
      <c r="Z73" s="97">
        <f>SUM(Z61:Z72)</f>
        <v>23295</v>
      </c>
      <c r="AB73" s="97">
        <f t="shared" si="8"/>
        <v>48019</v>
      </c>
      <c r="AU73" t="s">
        <v>654</v>
      </c>
      <c r="AV73" t="s">
        <v>113</v>
      </c>
      <c r="AW73" s="75">
        <v>8507.8255000000008</v>
      </c>
    </row>
    <row r="74" spans="1:49" ht="23">
      <c r="A74" s="154" t="s">
        <v>331</v>
      </c>
      <c r="AU74" t="s">
        <v>645</v>
      </c>
      <c r="AV74" t="s">
        <v>659</v>
      </c>
      <c r="AW74" s="75">
        <v>5790.3404</v>
      </c>
    </row>
    <row r="75" spans="1:49">
      <c r="A75" s="32" t="s">
        <v>308</v>
      </c>
      <c r="AU75" t="s">
        <v>136</v>
      </c>
      <c r="AV75" t="s">
        <v>382</v>
      </c>
      <c r="AW75" s="75">
        <v>1771.3566000000001</v>
      </c>
    </row>
    <row r="76" spans="1:49" ht="17.5" thickBot="1">
      <c r="AU76" t="s">
        <v>654</v>
      </c>
      <c r="AV76" t="s">
        <v>383</v>
      </c>
      <c r="AW76" s="75">
        <v>6231.1390000000001</v>
      </c>
    </row>
    <row r="77" spans="1:49" ht="17.5" thickTop="1">
      <c r="A77" s="484" t="s">
        <v>175</v>
      </c>
      <c r="B77" s="485"/>
      <c r="C77" s="485"/>
      <c r="D77" s="485"/>
      <c r="E77" s="486"/>
      <c r="F77" s="479" t="s">
        <v>165</v>
      </c>
      <c r="G77" s="480"/>
      <c r="H77" s="481"/>
      <c r="I77" s="105" t="s">
        <v>284</v>
      </c>
      <c r="J77" s="105" t="s">
        <v>286</v>
      </c>
      <c r="K77" s="105" t="s">
        <v>287</v>
      </c>
      <c r="L77" s="482" t="s">
        <v>21</v>
      </c>
      <c r="Q77" s="484" t="s">
        <v>175</v>
      </c>
      <c r="R77" s="485"/>
      <c r="S77" s="485"/>
      <c r="T77" s="485"/>
      <c r="U77" s="486"/>
      <c r="V77" s="479" t="s">
        <v>165</v>
      </c>
      <c r="W77" s="480"/>
      <c r="X77" s="481"/>
      <c r="Y77" s="105" t="s">
        <v>284</v>
      </c>
      <c r="Z77" s="105" t="s">
        <v>286</v>
      </c>
      <c r="AA77" s="105" t="s">
        <v>287</v>
      </c>
      <c r="AB77" s="482" t="s">
        <v>21</v>
      </c>
      <c r="AU77" t="s">
        <v>646</v>
      </c>
      <c r="AV77" t="s">
        <v>660</v>
      </c>
      <c r="AW77" s="75">
        <v>11058.6175</v>
      </c>
    </row>
    <row r="78" spans="1:49" ht="17.5" thickBot="1">
      <c r="A78" s="487"/>
      <c r="B78" s="488"/>
      <c r="C78" s="488"/>
      <c r="D78" s="488"/>
      <c r="E78" s="489"/>
      <c r="F78" s="107" t="s">
        <v>44</v>
      </c>
      <c r="G78" s="107" t="s">
        <v>45</v>
      </c>
      <c r="H78" s="107" t="s">
        <v>46</v>
      </c>
      <c r="I78" s="106" t="s">
        <v>285</v>
      </c>
      <c r="J78" s="106" t="s">
        <v>285</v>
      </c>
      <c r="K78" s="106" t="s">
        <v>285</v>
      </c>
      <c r="L78" s="483"/>
      <c r="Q78" s="487"/>
      <c r="R78" s="488"/>
      <c r="S78" s="488"/>
      <c r="T78" s="488"/>
      <c r="U78" s="489"/>
      <c r="V78" s="107" t="s">
        <v>44</v>
      </c>
      <c r="W78" s="107" t="s">
        <v>45</v>
      </c>
      <c r="X78" s="107" t="s">
        <v>46</v>
      </c>
      <c r="Y78" s="106" t="s">
        <v>285</v>
      </c>
      <c r="Z78" s="106" t="s">
        <v>285</v>
      </c>
      <c r="AA78" s="106" t="s">
        <v>285</v>
      </c>
      <c r="AB78" s="483"/>
      <c r="AU78" t="s">
        <v>647</v>
      </c>
      <c r="AV78" t="s">
        <v>103</v>
      </c>
      <c r="AW78" s="75">
        <v>11210.3078</v>
      </c>
    </row>
    <row r="79" spans="1:49" ht="17.5" thickTop="1">
      <c r="A79" s="145">
        <v>2027</v>
      </c>
      <c r="B79" s="300" t="s">
        <v>289</v>
      </c>
      <c r="C79" s="300"/>
      <c r="D79" s="490" t="s">
        <v>135</v>
      </c>
      <c r="E79" s="491"/>
      <c r="F79" s="97">
        <f t="shared" ref="F79:K79" si="21">F40</f>
        <v>437</v>
      </c>
      <c r="G79" s="97">
        <f t="shared" si="21"/>
        <v>130</v>
      </c>
      <c r="H79" s="97">
        <f t="shared" si="21"/>
        <v>499</v>
      </c>
      <c r="I79" s="97">
        <f t="shared" si="21"/>
        <v>440</v>
      </c>
      <c r="J79" s="97">
        <f t="shared" si="21"/>
        <v>0</v>
      </c>
      <c r="K79" s="97">
        <f t="shared" si="21"/>
        <v>0</v>
      </c>
      <c r="L79" s="97">
        <f>L40</f>
        <v>1506</v>
      </c>
      <c r="Q79" s="145">
        <v>2027</v>
      </c>
      <c r="R79" s="312" t="s">
        <v>289</v>
      </c>
      <c r="S79" s="312"/>
      <c r="T79" s="316" t="s">
        <v>135</v>
      </c>
      <c r="U79" s="317" t="s">
        <v>12</v>
      </c>
      <c r="V79" s="97">
        <f>F79/2</f>
        <v>218.5</v>
      </c>
      <c r="W79" s="97">
        <f t="shared" ref="W79:W90" si="22">G79/2</f>
        <v>65</v>
      </c>
      <c r="X79" s="97">
        <f t="shared" ref="X79:X90" si="23">H79/2</f>
        <v>249.5</v>
      </c>
      <c r="Y79" s="97">
        <f t="shared" ref="Y79:Y90" si="24">I79/2</f>
        <v>220</v>
      </c>
      <c r="Z79" s="97">
        <f t="shared" ref="Z79:Z90" si="25">J79/2</f>
        <v>0</v>
      </c>
      <c r="AA79" s="97">
        <f t="shared" ref="AA79:AA90" si="26">K79/2</f>
        <v>0</v>
      </c>
      <c r="AB79" s="97">
        <f>SUM(V79:X79)+Z79</f>
        <v>533</v>
      </c>
      <c r="AU79" t="s">
        <v>647</v>
      </c>
      <c r="AV79" t="s">
        <v>104</v>
      </c>
      <c r="AW79" s="75">
        <v>10719.050499999999</v>
      </c>
    </row>
    <row r="80" spans="1:49" ht="32">
      <c r="A80" s="145"/>
      <c r="B80" s="295" t="s">
        <v>290</v>
      </c>
      <c r="C80" s="112"/>
      <c r="D80" s="494" t="s">
        <v>322</v>
      </c>
      <c r="E80" s="41" t="s">
        <v>296</v>
      </c>
      <c r="F80" s="97">
        <f t="shared" ref="F80:K80" si="27">F43</f>
        <v>9511</v>
      </c>
      <c r="G80" s="97">
        <f t="shared" si="27"/>
        <v>2841</v>
      </c>
      <c r="H80" s="97">
        <f t="shared" si="27"/>
        <v>10863</v>
      </c>
      <c r="I80" s="97">
        <f t="shared" si="27"/>
        <v>11872</v>
      </c>
      <c r="J80" s="97">
        <f t="shared" si="27"/>
        <v>0</v>
      </c>
      <c r="K80" s="97">
        <f t="shared" si="27"/>
        <v>0</v>
      </c>
      <c r="L80" s="97">
        <f>L43</f>
        <v>35088</v>
      </c>
      <c r="Q80" s="145"/>
      <c r="R80" s="311" t="s">
        <v>290</v>
      </c>
      <c r="S80" s="112"/>
      <c r="T80" s="318" t="s">
        <v>322</v>
      </c>
      <c r="U80" s="41" t="s">
        <v>667</v>
      </c>
      <c r="V80" s="97">
        <f t="shared" ref="V80:V90" si="28">F80/2</f>
        <v>4755.5</v>
      </c>
      <c r="W80" s="97">
        <f t="shared" si="22"/>
        <v>1420.5</v>
      </c>
      <c r="X80" s="97">
        <f t="shared" si="23"/>
        <v>5431.5</v>
      </c>
      <c r="Y80" s="97">
        <f t="shared" si="24"/>
        <v>5936</v>
      </c>
      <c r="Z80" s="97">
        <f t="shared" si="25"/>
        <v>0</v>
      </c>
      <c r="AA80" s="97">
        <f t="shared" si="26"/>
        <v>0</v>
      </c>
      <c r="AB80" s="97">
        <f t="shared" ref="AB80:AB91" si="29">SUM(V80:X80)+Z80</f>
        <v>11607.5</v>
      </c>
      <c r="AU80" t="s">
        <v>647</v>
      </c>
      <c r="AV80" t="s">
        <v>117</v>
      </c>
      <c r="AW80" s="75">
        <v>25550.6122</v>
      </c>
    </row>
    <row r="81" spans="1:158" ht="32">
      <c r="A81" s="145"/>
      <c r="B81" s="295" t="s">
        <v>19</v>
      </c>
      <c r="C81" s="112"/>
      <c r="D81" s="495"/>
      <c r="E81" s="41" t="s">
        <v>297</v>
      </c>
      <c r="F81" s="97">
        <f t="shared" ref="F81:K81" si="30">F44</f>
        <v>7149</v>
      </c>
      <c r="G81" s="97">
        <f t="shared" si="30"/>
        <v>2136</v>
      </c>
      <c r="H81" s="97">
        <f t="shared" si="30"/>
        <v>8165</v>
      </c>
      <c r="I81" s="97">
        <f t="shared" si="30"/>
        <v>7204</v>
      </c>
      <c r="J81" s="97">
        <f t="shared" si="30"/>
        <v>0</v>
      </c>
      <c r="K81" s="97">
        <f t="shared" si="30"/>
        <v>0</v>
      </c>
      <c r="L81" s="97">
        <f>L44</f>
        <v>24653</v>
      </c>
      <c r="Q81" s="145"/>
      <c r="R81" s="311" t="s">
        <v>19</v>
      </c>
      <c r="S81" s="112"/>
      <c r="T81" s="319"/>
      <c r="U81" s="41" t="s">
        <v>669</v>
      </c>
      <c r="V81" s="97">
        <f t="shared" si="28"/>
        <v>3574.5</v>
      </c>
      <c r="W81" s="97">
        <f t="shared" si="22"/>
        <v>1068</v>
      </c>
      <c r="X81" s="97">
        <f t="shared" si="23"/>
        <v>4082.5</v>
      </c>
      <c r="Y81" s="97">
        <f t="shared" si="24"/>
        <v>3602</v>
      </c>
      <c r="Z81" s="97">
        <f t="shared" si="25"/>
        <v>0</v>
      </c>
      <c r="AA81" s="97">
        <f t="shared" si="26"/>
        <v>0</v>
      </c>
      <c r="AB81" s="97">
        <f t="shared" si="29"/>
        <v>8725</v>
      </c>
      <c r="AU81" t="s">
        <v>647</v>
      </c>
      <c r="AV81" t="s">
        <v>118</v>
      </c>
      <c r="AW81" s="75">
        <v>13315.3163</v>
      </c>
    </row>
    <row r="82" spans="1:158" ht="32">
      <c r="A82" s="145"/>
      <c r="B82" s="112"/>
      <c r="C82" s="112"/>
      <c r="D82" s="295" t="s">
        <v>197</v>
      </c>
      <c r="E82" s="41" t="s">
        <v>297</v>
      </c>
      <c r="F82" s="97">
        <f t="shared" ref="F82:K82" si="31">F46</f>
        <v>1150</v>
      </c>
      <c r="G82" s="97">
        <f t="shared" si="31"/>
        <v>343</v>
      </c>
      <c r="H82" s="97">
        <f t="shared" si="31"/>
        <v>1313</v>
      </c>
      <c r="I82" s="97">
        <f t="shared" si="31"/>
        <v>1159</v>
      </c>
      <c r="J82" s="97">
        <f t="shared" si="31"/>
        <v>0</v>
      </c>
      <c r="K82" s="97">
        <f t="shared" si="31"/>
        <v>0</v>
      </c>
      <c r="L82" s="97">
        <f t="shared" ref="L82:L90" si="32">L46</f>
        <v>3965</v>
      </c>
      <c r="Q82" s="145"/>
      <c r="R82" s="112"/>
      <c r="S82" s="112"/>
      <c r="T82" s="311" t="s">
        <v>197</v>
      </c>
      <c r="U82" s="41" t="s">
        <v>671</v>
      </c>
      <c r="V82" s="97">
        <f t="shared" si="28"/>
        <v>575</v>
      </c>
      <c r="W82" s="97">
        <f t="shared" si="22"/>
        <v>171.5</v>
      </c>
      <c r="X82" s="97">
        <f t="shared" si="23"/>
        <v>656.5</v>
      </c>
      <c r="Y82" s="97">
        <f t="shared" si="24"/>
        <v>579.5</v>
      </c>
      <c r="Z82" s="97">
        <f t="shared" si="25"/>
        <v>0</v>
      </c>
      <c r="AA82" s="97">
        <f t="shared" si="26"/>
        <v>0</v>
      </c>
      <c r="AB82" s="97">
        <f t="shared" si="29"/>
        <v>1403</v>
      </c>
      <c r="AU82" t="s">
        <v>655</v>
      </c>
      <c r="AV82" t="s">
        <v>105</v>
      </c>
      <c r="AW82" s="75">
        <v>15739.680700000001</v>
      </c>
    </row>
    <row r="83" spans="1:158" ht="16.5" customHeight="1">
      <c r="A83" s="145"/>
      <c r="B83" s="112"/>
      <c r="C83" s="113"/>
      <c r="D83" s="113"/>
      <c r="E83" s="41" t="s">
        <v>299</v>
      </c>
      <c r="F83" s="97">
        <f t="shared" ref="F83:K83" si="33">F47</f>
        <v>2012</v>
      </c>
      <c r="G83" s="97">
        <f t="shared" si="33"/>
        <v>601</v>
      </c>
      <c r="H83" s="97">
        <f t="shared" si="33"/>
        <v>2298</v>
      </c>
      <c r="I83" s="97">
        <f t="shared" si="33"/>
        <v>2028</v>
      </c>
      <c r="J83" s="97">
        <f t="shared" si="33"/>
        <v>0</v>
      </c>
      <c r="K83" s="97">
        <f t="shared" si="33"/>
        <v>0</v>
      </c>
      <c r="L83" s="97">
        <f t="shared" si="32"/>
        <v>6939</v>
      </c>
      <c r="Q83" s="145"/>
      <c r="R83" s="112"/>
      <c r="S83" s="113"/>
      <c r="T83" s="113"/>
      <c r="U83" s="41" t="s">
        <v>673</v>
      </c>
      <c r="V83" s="97">
        <f t="shared" si="28"/>
        <v>1006</v>
      </c>
      <c r="W83" s="97">
        <f t="shared" si="22"/>
        <v>300.5</v>
      </c>
      <c r="X83" s="97">
        <f t="shared" si="23"/>
        <v>1149</v>
      </c>
      <c r="Y83" s="97">
        <f t="shared" si="24"/>
        <v>1014</v>
      </c>
      <c r="Z83" s="97">
        <f t="shared" si="25"/>
        <v>0</v>
      </c>
      <c r="AA83" s="97">
        <f t="shared" si="26"/>
        <v>0</v>
      </c>
      <c r="AB83" s="97">
        <f t="shared" si="29"/>
        <v>2455.5</v>
      </c>
      <c r="AU83" t="s">
        <v>655</v>
      </c>
      <c r="AV83" t="s">
        <v>648</v>
      </c>
      <c r="AW83" s="75">
        <v>34908.721899999997</v>
      </c>
    </row>
    <row r="84" spans="1:158" ht="16.5" customHeight="1">
      <c r="A84" s="145"/>
      <c r="B84" s="113"/>
      <c r="C84" s="490" t="s">
        <v>13</v>
      </c>
      <c r="D84" s="491"/>
      <c r="E84" s="491"/>
      <c r="F84" s="97">
        <f t="shared" ref="F84:K84" si="34">F48</f>
        <v>0</v>
      </c>
      <c r="G84" s="97">
        <f t="shared" si="34"/>
        <v>0</v>
      </c>
      <c r="H84" s="97">
        <f t="shared" si="34"/>
        <v>0</v>
      </c>
      <c r="I84" s="97">
        <f t="shared" si="34"/>
        <v>0</v>
      </c>
      <c r="J84" s="97">
        <f t="shared" si="34"/>
        <v>1639</v>
      </c>
      <c r="K84" s="97">
        <f t="shared" si="34"/>
        <v>17330</v>
      </c>
      <c r="L84" s="97">
        <f t="shared" si="32"/>
        <v>18969</v>
      </c>
      <c r="Q84" s="145"/>
      <c r="R84" s="113"/>
      <c r="S84" s="316" t="s">
        <v>13</v>
      </c>
      <c r="T84" s="317"/>
      <c r="U84" s="317" t="s">
        <v>13</v>
      </c>
      <c r="V84" s="97">
        <f t="shared" si="28"/>
        <v>0</v>
      </c>
      <c r="W84" s="97">
        <f t="shared" si="22"/>
        <v>0</v>
      </c>
      <c r="X84" s="97">
        <f t="shared" si="23"/>
        <v>0</v>
      </c>
      <c r="Y84" s="97">
        <f t="shared" si="24"/>
        <v>0</v>
      </c>
      <c r="Z84" s="97">
        <f t="shared" si="25"/>
        <v>819.5</v>
      </c>
      <c r="AA84" s="97">
        <f t="shared" si="26"/>
        <v>8665</v>
      </c>
      <c r="AB84" s="97">
        <f t="shared" si="29"/>
        <v>819.5</v>
      </c>
      <c r="AU84" t="s">
        <v>661</v>
      </c>
      <c r="AV84" t="s">
        <v>125</v>
      </c>
      <c r="AW84" s="75">
        <v>4662.5794999999998</v>
      </c>
    </row>
    <row r="85" spans="1:158" ht="17" customHeight="1">
      <c r="A85" s="145"/>
      <c r="B85" s="300" t="s">
        <v>300</v>
      </c>
      <c r="C85" s="490" t="s">
        <v>301</v>
      </c>
      <c r="D85" s="491"/>
      <c r="E85" s="491"/>
      <c r="F85" s="97">
        <f t="shared" ref="F85:K85" si="35">F49</f>
        <v>0</v>
      </c>
      <c r="G85" s="97">
        <f t="shared" si="35"/>
        <v>0</v>
      </c>
      <c r="H85" s="97">
        <f t="shared" si="35"/>
        <v>0</v>
      </c>
      <c r="I85" s="97">
        <f t="shared" si="35"/>
        <v>0</v>
      </c>
      <c r="J85" s="97">
        <f t="shared" si="35"/>
        <v>28783</v>
      </c>
      <c r="K85" s="97">
        <f t="shared" si="35"/>
        <v>108761</v>
      </c>
      <c r="L85" s="97">
        <f t="shared" si="32"/>
        <v>137544</v>
      </c>
      <c r="Q85" s="145"/>
      <c r="R85" s="312" t="s">
        <v>300</v>
      </c>
      <c r="S85" s="316" t="s">
        <v>301</v>
      </c>
      <c r="T85" s="317"/>
      <c r="U85" s="317" t="s">
        <v>301</v>
      </c>
      <c r="V85" s="97">
        <f t="shared" si="28"/>
        <v>0</v>
      </c>
      <c r="W85" s="97">
        <f t="shared" si="22"/>
        <v>0</v>
      </c>
      <c r="X85" s="97">
        <f t="shared" si="23"/>
        <v>0</v>
      </c>
      <c r="Y85" s="97">
        <f t="shared" si="24"/>
        <v>0</v>
      </c>
      <c r="Z85" s="97">
        <f t="shared" si="25"/>
        <v>14391.5</v>
      </c>
      <c r="AA85" s="97">
        <f t="shared" si="26"/>
        <v>54380.5</v>
      </c>
      <c r="AB85" s="97">
        <f t="shared" si="29"/>
        <v>14391.5</v>
      </c>
      <c r="AU85" t="s">
        <v>649</v>
      </c>
      <c r="AV85" t="s">
        <v>650</v>
      </c>
      <c r="AW85" s="75">
        <v>1500.06</v>
      </c>
    </row>
    <row r="86" spans="1:158">
      <c r="A86" s="145"/>
      <c r="B86" s="295" t="s">
        <v>20</v>
      </c>
      <c r="C86" s="490" t="s">
        <v>302</v>
      </c>
      <c r="D86" s="491"/>
      <c r="E86" s="491"/>
      <c r="F86" s="97">
        <f t="shared" ref="F86:K86" si="36">F50</f>
        <v>0</v>
      </c>
      <c r="G86" s="97">
        <f t="shared" si="36"/>
        <v>0</v>
      </c>
      <c r="H86" s="97">
        <f t="shared" si="36"/>
        <v>0</v>
      </c>
      <c r="I86" s="97">
        <f t="shared" si="36"/>
        <v>0</v>
      </c>
      <c r="J86" s="97">
        <f t="shared" si="36"/>
        <v>343</v>
      </c>
      <c r="K86" s="97">
        <f t="shared" si="36"/>
        <v>357</v>
      </c>
      <c r="L86" s="97">
        <f t="shared" si="32"/>
        <v>699</v>
      </c>
      <c r="Q86" s="145"/>
      <c r="R86" s="311" t="s">
        <v>20</v>
      </c>
      <c r="S86" s="316" t="s">
        <v>302</v>
      </c>
      <c r="T86" s="317"/>
      <c r="U86" s="317" t="s">
        <v>302</v>
      </c>
      <c r="V86" s="97">
        <f t="shared" si="28"/>
        <v>0</v>
      </c>
      <c r="W86" s="97">
        <f t="shared" si="22"/>
        <v>0</v>
      </c>
      <c r="X86" s="97">
        <f t="shared" si="23"/>
        <v>0</v>
      </c>
      <c r="Y86" s="97">
        <f t="shared" si="24"/>
        <v>0</v>
      </c>
      <c r="Z86" s="97">
        <f t="shared" si="25"/>
        <v>171.5</v>
      </c>
      <c r="AA86" s="97">
        <f t="shared" si="26"/>
        <v>178.5</v>
      </c>
      <c r="AB86" s="97">
        <f t="shared" si="29"/>
        <v>171.5</v>
      </c>
      <c r="AU86" t="s">
        <v>649</v>
      </c>
      <c r="AV86" t="s">
        <v>393</v>
      </c>
      <c r="AW86" s="75">
        <v>1939.5264</v>
      </c>
    </row>
    <row r="87" spans="1:158">
      <c r="A87" s="145"/>
      <c r="B87" s="295" t="s">
        <v>19</v>
      </c>
      <c r="C87" s="490" t="s">
        <v>303</v>
      </c>
      <c r="D87" s="491"/>
      <c r="E87" s="491"/>
      <c r="F87" s="97">
        <f t="shared" ref="F87:K87" si="37">F51</f>
        <v>0</v>
      </c>
      <c r="G87" s="97">
        <f t="shared" si="37"/>
        <v>0</v>
      </c>
      <c r="H87" s="97">
        <f t="shared" si="37"/>
        <v>0</v>
      </c>
      <c r="I87" s="97">
        <f t="shared" si="37"/>
        <v>0</v>
      </c>
      <c r="J87" s="97">
        <f t="shared" si="37"/>
        <v>607</v>
      </c>
      <c r="K87" s="97">
        <f t="shared" si="37"/>
        <v>7517</v>
      </c>
      <c r="L87" s="97">
        <f t="shared" si="32"/>
        <v>8124</v>
      </c>
      <c r="Q87" s="145"/>
      <c r="R87" s="311" t="s">
        <v>19</v>
      </c>
      <c r="S87" s="316" t="s">
        <v>303</v>
      </c>
      <c r="T87" s="317"/>
      <c r="U87" s="317" t="s">
        <v>303</v>
      </c>
      <c r="V87" s="97">
        <f t="shared" si="28"/>
        <v>0</v>
      </c>
      <c r="W87" s="97">
        <f t="shared" si="22"/>
        <v>0</v>
      </c>
      <c r="X87" s="97">
        <f t="shared" si="23"/>
        <v>0</v>
      </c>
      <c r="Y87" s="97">
        <f t="shared" si="24"/>
        <v>0</v>
      </c>
      <c r="Z87" s="97">
        <f t="shared" si="25"/>
        <v>303.5</v>
      </c>
      <c r="AA87" s="97">
        <f t="shared" si="26"/>
        <v>3758.5</v>
      </c>
      <c r="AB87" s="97">
        <f t="shared" si="29"/>
        <v>303.5</v>
      </c>
      <c r="AU87" t="s">
        <v>662</v>
      </c>
      <c r="AV87" t="s">
        <v>395</v>
      </c>
      <c r="AW87" s="75">
        <v>2026.3647000000001</v>
      </c>
    </row>
    <row r="88" spans="1:158" ht="16.5" customHeight="1">
      <c r="A88" s="145"/>
      <c r="B88" s="112"/>
      <c r="C88" s="490" t="s">
        <v>304</v>
      </c>
      <c r="D88" s="491"/>
      <c r="E88" s="491"/>
      <c r="F88" s="97">
        <f t="shared" ref="F88:K88" si="38">F52</f>
        <v>0</v>
      </c>
      <c r="G88" s="97">
        <f t="shared" si="38"/>
        <v>0</v>
      </c>
      <c r="H88" s="97">
        <f t="shared" si="38"/>
        <v>0</v>
      </c>
      <c r="I88" s="97">
        <f t="shared" si="38"/>
        <v>0</v>
      </c>
      <c r="J88" s="97">
        <f t="shared" si="38"/>
        <v>56</v>
      </c>
      <c r="K88" s="97">
        <f t="shared" si="38"/>
        <v>0</v>
      </c>
      <c r="L88" s="97">
        <f t="shared" si="32"/>
        <v>56</v>
      </c>
      <c r="Q88" s="145"/>
      <c r="R88" s="112"/>
      <c r="S88" s="316" t="s">
        <v>304</v>
      </c>
      <c r="T88" s="317"/>
      <c r="U88" s="317" t="s">
        <v>304</v>
      </c>
      <c r="V88" s="97">
        <f t="shared" si="28"/>
        <v>0</v>
      </c>
      <c r="W88" s="97">
        <f t="shared" si="22"/>
        <v>0</v>
      </c>
      <c r="X88" s="97">
        <f t="shared" si="23"/>
        <v>0</v>
      </c>
      <c r="Y88" s="97">
        <f t="shared" si="24"/>
        <v>0</v>
      </c>
      <c r="Z88" s="97">
        <f t="shared" si="25"/>
        <v>28</v>
      </c>
      <c r="AA88" s="97">
        <f t="shared" si="26"/>
        <v>0</v>
      </c>
      <c r="AB88" s="97">
        <f t="shared" si="29"/>
        <v>28</v>
      </c>
      <c r="AU88" t="s">
        <v>208</v>
      </c>
      <c r="AV88" t="s">
        <v>651</v>
      </c>
      <c r="AW88" s="75">
        <v>41993.0622</v>
      </c>
    </row>
    <row r="89" spans="1:158" ht="17.25" customHeight="1">
      <c r="A89" s="145"/>
      <c r="B89" s="112"/>
      <c r="C89" s="490" t="s">
        <v>305</v>
      </c>
      <c r="D89" s="491"/>
      <c r="E89" s="491"/>
      <c r="F89" s="97">
        <f t="shared" ref="F89:K89" si="39">F53</f>
        <v>0</v>
      </c>
      <c r="G89" s="97">
        <f t="shared" si="39"/>
        <v>0</v>
      </c>
      <c r="H89" s="97">
        <f t="shared" si="39"/>
        <v>0</v>
      </c>
      <c r="I89" s="97">
        <f t="shared" si="39"/>
        <v>0</v>
      </c>
      <c r="J89" s="97">
        <f t="shared" si="39"/>
        <v>173</v>
      </c>
      <c r="K89" s="97">
        <f t="shared" si="39"/>
        <v>2196</v>
      </c>
      <c r="L89" s="97">
        <f t="shared" si="32"/>
        <v>2369</v>
      </c>
      <c r="Q89" s="145"/>
      <c r="R89" s="112"/>
      <c r="S89" s="316" t="s">
        <v>305</v>
      </c>
      <c r="T89" s="317"/>
      <c r="U89" s="317" t="s">
        <v>305</v>
      </c>
      <c r="V89" s="97">
        <f t="shared" si="28"/>
        <v>0</v>
      </c>
      <c r="W89" s="97">
        <f t="shared" si="22"/>
        <v>0</v>
      </c>
      <c r="X89" s="97">
        <f t="shared" si="23"/>
        <v>0</v>
      </c>
      <c r="Y89" s="97">
        <f t="shared" si="24"/>
        <v>0</v>
      </c>
      <c r="Z89" s="97">
        <f t="shared" si="25"/>
        <v>86.5</v>
      </c>
      <c r="AA89" s="97">
        <f t="shared" si="26"/>
        <v>1098</v>
      </c>
      <c r="AB89" s="97">
        <f t="shared" si="29"/>
        <v>86.5</v>
      </c>
      <c r="AU89" t="s">
        <v>652</v>
      </c>
      <c r="AV89" t="s">
        <v>398</v>
      </c>
      <c r="AW89" s="75">
        <v>63842.682699999998</v>
      </c>
    </row>
    <row r="90" spans="1:158" ht="17.5" customHeight="1" thickBot="1">
      <c r="A90" s="146"/>
      <c r="B90" s="147"/>
      <c r="C90" s="492" t="s">
        <v>47</v>
      </c>
      <c r="D90" s="493"/>
      <c r="E90" s="493"/>
      <c r="F90" s="97">
        <f t="shared" ref="F90:K90" si="40">F54</f>
        <v>0</v>
      </c>
      <c r="G90" s="97">
        <f t="shared" si="40"/>
        <v>0</v>
      </c>
      <c r="H90" s="97">
        <f t="shared" si="40"/>
        <v>0</v>
      </c>
      <c r="I90" s="97">
        <f t="shared" si="40"/>
        <v>0</v>
      </c>
      <c r="J90" s="97">
        <f t="shared" si="40"/>
        <v>14989</v>
      </c>
      <c r="K90" s="97">
        <f t="shared" si="40"/>
        <v>45824</v>
      </c>
      <c r="L90" s="97">
        <f t="shared" si="32"/>
        <v>60814</v>
      </c>
      <c r="Q90" s="146"/>
      <c r="R90" s="147"/>
      <c r="S90" s="320" t="s">
        <v>47</v>
      </c>
      <c r="T90" s="321"/>
      <c r="U90" s="321" t="s">
        <v>47</v>
      </c>
      <c r="V90" s="97">
        <f t="shared" si="28"/>
        <v>0</v>
      </c>
      <c r="W90" s="97">
        <f t="shared" si="22"/>
        <v>0</v>
      </c>
      <c r="X90" s="97">
        <f t="shared" si="23"/>
        <v>0</v>
      </c>
      <c r="Y90" s="97">
        <f t="shared" si="24"/>
        <v>0</v>
      </c>
      <c r="Z90" s="97">
        <f t="shared" si="25"/>
        <v>7494.5</v>
      </c>
      <c r="AA90" s="97">
        <f t="shared" si="26"/>
        <v>22912</v>
      </c>
      <c r="AB90" s="97">
        <f t="shared" si="29"/>
        <v>7494.5</v>
      </c>
    </row>
    <row r="91" spans="1:158">
      <c r="L91" s="97">
        <f>SUM(L79:L90)</f>
        <v>300726</v>
      </c>
      <c r="U91" t="s">
        <v>677</v>
      </c>
      <c r="V91" s="97">
        <f>SUM(V79:V90)</f>
        <v>10129.5</v>
      </c>
      <c r="W91">
        <f t="shared" ref="W91" si="41">SUM(W79:W90)</f>
        <v>3025.5</v>
      </c>
      <c r="X91">
        <f t="shared" ref="X91" si="42">SUM(X79:X90)</f>
        <v>11569</v>
      </c>
      <c r="Y91">
        <f t="shared" ref="Y91" si="43">SUM(Y79:Y90)</f>
        <v>11351.5</v>
      </c>
      <c r="Z91">
        <f t="shared" ref="Z91" si="44">SUM(Z79:Z90)</f>
        <v>23295</v>
      </c>
      <c r="AA91">
        <f t="shared" ref="AA91" si="45">SUM(AA79:AA90)</f>
        <v>90992.5</v>
      </c>
      <c r="AB91" s="97">
        <f t="shared" si="29"/>
        <v>48019</v>
      </c>
    </row>
    <row r="92" spans="1:158">
      <c r="X92" s="97"/>
    </row>
    <row r="93" spans="1:158">
      <c r="FB93" s="32" t="s">
        <v>863</v>
      </c>
    </row>
    <row r="94" spans="1:158">
      <c r="FA94" s="279"/>
      <c r="FB94" s="279" t="s">
        <v>601</v>
      </c>
    </row>
    <row r="95" spans="1:158">
      <c r="L95" s="403"/>
      <c r="M95" s="32" t="s">
        <v>851</v>
      </c>
      <c r="FA95" s="279" t="s">
        <v>602</v>
      </c>
      <c r="FB95" s="293">
        <v>1</v>
      </c>
    </row>
    <row r="99" spans="1:174" s="227" customFormat="1" ht="19.5">
      <c r="A99" s="329">
        <v>2025</v>
      </c>
      <c r="B99" s="282"/>
      <c r="C99" s="283"/>
      <c r="D99" s="284"/>
      <c r="E99" s="284"/>
      <c r="F99" s="284"/>
      <c r="G99" s="284"/>
      <c r="H99" s="284"/>
      <c r="I99" s="284"/>
      <c r="K99" s="282"/>
      <c r="L99" s="282"/>
      <c r="M99" s="283"/>
      <c r="N99" s="284"/>
      <c r="O99" s="284"/>
      <c r="P99" s="284"/>
      <c r="Q99" s="284"/>
      <c r="R99" s="284"/>
      <c r="S99" s="284"/>
    </row>
    <row r="100" spans="1:174" ht="23.5" thickBot="1">
      <c r="A100" s="32" t="s">
        <v>468</v>
      </c>
      <c r="C100" t="s">
        <v>463</v>
      </c>
      <c r="D100" t="s">
        <v>467</v>
      </c>
      <c r="E100" t="s">
        <v>470</v>
      </c>
      <c r="F100" t="s">
        <v>465</v>
      </c>
      <c r="G100" t="s">
        <v>466</v>
      </c>
      <c r="H100" t="s">
        <v>21</v>
      </c>
      <c r="K100" s="32" t="s">
        <v>471</v>
      </c>
      <c r="CV100" s="32" t="s">
        <v>492</v>
      </c>
      <c r="CY100" t="s">
        <v>478</v>
      </c>
      <c r="CZ100" t="s">
        <v>479</v>
      </c>
      <c r="ET100" s="353" t="s">
        <v>861</v>
      </c>
      <c r="FD100" s="353" t="s">
        <v>745</v>
      </c>
      <c r="FL100" s="353"/>
    </row>
    <row r="101" spans="1:174">
      <c r="A101" t="s">
        <v>462</v>
      </c>
      <c r="C101" t="s">
        <v>427</v>
      </c>
      <c r="D101" t="s">
        <v>428</v>
      </c>
      <c r="E101" t="s">
        <v>429</v>
      </c>
      <c r="F101" t="s">
        <v>430</v>
      </c>
      <c r="G101" t="s">
        <v>431</v>
      </c>
      <c r="H101" t="s">
        <v>457</v>
      </c>
      <c r="K101" s="159" t="s">
        <v>482</v>
      </c>
      <c r="L101" s="159"/>
      <c r="M101" s="443" t="s">
        <v>463</v>
      </c>
      <c r="N101" s="444"/>
      <c r="O101" s="444"/>
      <c r="P101" s="444"/>
      <c r="Q101" s="444"/>
      <c r="R101" s="444"/>
      <c r="S101" s="444"/>
      <c r="T101" s="444"/>
      <c r="U101" s="444"/>
      <c r="V101" s="444"/>
      <c r="W101" s="444"/>
      <c r="X101" s="444"/>
      <c r="Y101" s="444"/>
      <c r="Z101" s="445"/>
      <c r="AA101" s="443" t="s">
        <v>467</v>
      </c>
      <c r="AB101" s="444"/>
      <c r="AC101" s="444"/>
      <c r="AD101" s="444"/>
      <c r="AE101" s="444"/>
      <c r="AF101" s="444"/>
      <c r="AG101" s="444"/>
      <c r="AH101" s="444"/>
      <c r="AI101" s="444"/>
      <c r="AJ101" s="444"/>
      <c r="AK101" s="444"/>
      <c r="AL101" s="444"/>
      <c r="AM101" s="444"/>
      <c r="AN101" s="445"/>
      <c r="AO101" s="443" t="s">
        <v>464</v>
      </c>
      <c r="AP101" s="444"/>
      <c r="AQ101" s="444"/>
      <c r="AR101" s="444"/>
      <c r="AS101" s="444"/>
      <c r="AT101" s="444"/>
      <c r="AU101" s="444"/>
      <c r="AV101" s="444"/>
      <c r="AW101" s="444"/>
      <c r="AX101" s="444"/>
      <c r="AY101" s="444"/>
      <c r="AZ101" s="444"/>
      <c r="BA101" s="444"/>
      <c r="BB101" s="445"/>
      <c r="BC101" s="443" t="s">
        <v>465</v>
      </c>
      <c r="BD101" s="444"/>
      <c r="BE101" s="444"/>
      <c r="BF101" s="444"/>
      <c r="BG101" s="444"/>
      <c r="BH101" s="444"/>
      <c r="BI101" s="444"/>
      <c r="BJ101" s="444"/>
      <c r="BK101" s="444"/>
      <c r="BL101" s="444"/>
      <c r="BM101" s="444"/>
      <c r="BN101" s="444"/>
      <c r="BO101" s="444"/>
      <c r="BP101" s="445"/>
      <c r="BQ101" s="443" t="s">
        <v>466</v>
      </c>
      <c r="BR101" s="444"/>
      <c r="BS101" s="444"/>
      <c r="BT101" s="444"/>
      <c r="BU101" s="444"/>
      <c r="BV101" s="444"/>
      <c r="BW101" s="444"/>
      <c r="BX101" s="444"/>
      <c r="BY101" s="444"/>
      <c r="BZ101" s="444"/>
      <c r="CA101" s="444"/>
      <c r="CB101" s="444"/>
      <c r="CC101" s="444"/>
      <c r="CD101" s="445"/>
      <c r="CE101" s="443" t="s">
        <v>21</v>
      </c>
      <c r="CF101" s="444"/>
      <c r="CG101" s="444"/>
      <c r="CH101" s="444"/>
      <c r="CI101" s="444"/>
      <c r="CJ101" s="444"/>
      <c r="CK101" s="444"/>
      <c r="CL101" s="444"/>
      <c r="CM101" s="444"/>
      <c r="CN101" s="444"/>
      <c r="CO101" s="444"/>
      <c r="CP101" s="444"/>
      <c r="CQ101" s="444"/>
      <c r="CR101" s="445"/>
      <c r="CV101" s="263" t="s">
        <v>482</v>
      </c>
      <c r="CW101" s="263"/>
      <c r="CX101" s="446" t="s">
        <v>554</v>
      </c>
      <c r="CY101" s="439"/>
      <c r="CZ101" s="439"/>
      <c r="DA101" s="440"/>
      <c r="DB101" s="438" t="s">
        <v>553</v>
      </c>
      <c r="DC101" s="439"/>
      <c r="DD101" s="439"/>
      <c r="DE101" s="440"/>
      <c r="DF101" s="438" t="s">
        <v>464</v>
      </c>
      <c r="DG101" s="439"/>
      <c r="DH101" s="439"/>
      <c r="DI101" s="440"/>
      <c r="DJ101" s="438" t="s">
        <v>465</v>
      </c>
      <c r="DK101" s="439"/>
      <c r="DL101" s="439"/>
      <c r="DM101" s="440"/>
      <c r="DN101" s="438" t="s">
        <v>466</v>
      </c>
      <c r="DO101" s="439"/>
      <c r="DP101" s="439"/>
      <c r="DQ101" s="440"/>
      <c r="DR101" s="438" t="s">
        <v>21</v>
      </c>
      <c r="DS101" s="439"/>
      <c r="DT101" s="439"/>
      <c r="DU101" s="441"/>
      <c r="DW101" s="278"/>
      <c r="DX101" s="278"/>
      <c r="DY101" s="442" t="s">
        <v>588</v>
      </c>
      <c r="DZ101" s="442"/>
      <c r="EB101" s="278"/>
      <c r="EC101" s="278"/>
      <c r="ED101" s="442" t="s">
        <v>588</v>
      </c>
      <c r="EE101" s="442"/>
      <c r="EI101" t="s">
        <v>599</v>
      </c>
    </row>
    <row r="102" spans="1:174">
      <c r="A102" s="199"/>
      <c r="B102" s="199"/>
      <c r="C102" s="202" t="s">
        <v>463</v>
      </c>
      <c r="D102" s="202" t="s">
        <v>467</v>
      </c>
      <c r="E102" s="202" t="s">
        <v>464</v>
      </c>
      <c r="F102" s="202" t="s">
        <v>465</v>
      </c>
      <c r="G102" s="202" t="s">
        <v>678</v>
      </c>
      <c r="H102" s="202" t="s">
        <v>21</v>
      </c>
      <c r="K102" s="159"/>
      <c r="L102" s="159"/>
      <c r="M102" s="211" t="s">
        <v>472</v>
      </c>
      <c r="N102" s="160" t="s">
        <v>156</v>
      </c>
      <c r="O102" s="160" t="s">
        <v>475</v>
      </c>
      <c r="P102" s="160" t="s">
        <v>476</v>
      </c>
      <c r="Q102" s="160" t="s">
        <v>477</v>
      </c>
      <c r="R102" s="160" t="s">
        <v>478</v>
      </c>
      <c r="S102" s="160" t="s">
        <v>479</v>
      </c>
      <c r="T102" s="160" t="s">
        <v>480</v>
      </c>
      <c r="U102" s="160" t="s">
        <v>449</v>
      </c>
      <c r="V102" s="160" t="s">
        <v>157</v>
      </c>
      <c r="W102" s="160" t="s">
        <v>473</v>
      </c>
      <c r="X102" s="160" t="s">
        <v>474</v>
      </c>
      <c r="Y102" s="160" t="s">
        <v>46</v>
      </c>
      <c r="Z102" s="212" t="s">
        <v>11</v>
      </c>
      <c r="AA102" s="211" t="s">
        <v>472</v>
      </c>
      <c r="AB102" s="160" t="s">
        <v>156</v>
      </c>
      <c r="AC102" s="160" t="s">
        <v>475</v>
      </c>
      <c r="AD102" s="160" t="s">
        <v>476</v>
      </c>
      <c r="AE102" s="160" t="s">
        <v>477</v>
      </c>
      <c r="AF102" s="160" t="s">
        <v>478</v>
      </c>
      <c r="AG102" s="160" t="s">
        <v>479</v>
      </c>
      <c r="AH102" s="160" t="s">
        <v>480</v>
      </c>
      <c r="AI102" s="160" t="s">
        <v>449</v>
      </c>
      <c r="AJ102" s="160" t="s">
        <v>157</v>
      </c>
      <c r="AK102" s="160" t="s">
        <v>473</v>
      </c>
      <c r="AL102" s="160" t="s">
        <v>474</v>
      </c>
      <c r="AM102" s="160" t="s">
        <v>46</v>
      </c>
      <c r="AN102" s="212" t="s">
        <v>11</v>
      </c>
      <c r="AO102" s="211" t="s">
        <v>472</v>
      </c>
      <c r="AP102" s="160" t="s">
        <v>156</v>
      </c>
      <c r="AQ102" s="160" t="s">
        <v>475</v>
      </c>
      <c r="AR102" s="160" t="s">
        <v>476</v>
      </c>
      <c r="AS102" s="160" t="s">
        <v>477</v>
      </c>
      <c r="AT102" s="160" t="s">
        <v>478</v>
      </c>
      <c r="AU102" s="160" t="s">
        <v>479</v>
      </c>
      <c r="AV102" s="160" t="s">
        <v>480</v>
      </c>
      <c r="AW102" s="160" t="s">
        <v>449</v>
      </c>
      <c r="AX102" s="160" t="s">
        <v>157</v>
      </c>
      <c r="AY102" s="160" t="s">
        <v>473</v>
      </c>
      <c r="AZ102" s="160" t="s">
        <v>474</v>
      </c>
      <c r="BA102" s="160" t="s">
        <v>46</v>
      </c>
      <c r="BB102" s="212" t="s">
        <v>11</v>
      </c>
      <c r="BC102" s="211" t="s">
        <v>472</v>
      </c>
      <c r="BD102" s="160" t="s">
        <v>156</v>
      </c>
      <c r="BE102" s="160" t="s">
        <v>475</v>
      </c>
      <c r="BF102" s="160" t="s">
        <v>476</v>
      </c>
      <c r="BG102" s="160" t="s">
        <v>477</v>
      </c>
      <c r="BH102" s="160" t="s">
        <v>478</v>
      </c>
      <c r="BI102" s="160" t="s">
        <v>479</v>
      </c>
      <c r="BJ102" s="160" t="s">
        <v>480</v>
      </c>
      <c r="BK102" s="160" t="s">
        <v>449</v>
      </c>
      <c r="BL102" s="160" t="s">
        <v>157</v>
      </c>
      <c r="BM102" s="160" t="s">
        <v>473</v>
      </c>
      <c r="BN102" s="160" t="s">
        <v>474</v>
      </c>
      <c r="BO102" s="160" t="s">
        <v>46</v>
      </c>
      <c r="BP102" s="212" t="s">
        <v>11</v>
      </c>
      <c r="BQ102" s="211" t="s">
        <v>472</v>
      </c>
      <c r="BR102" s="160" t="s">
        <v>156</v>
      </c>
      <c r="BS102" s="160" t="s">
        <v>475</v>
      </c>
      <c r="BT102" s="160" t="s">
        <v>476</v>
      </c>
      <c r="BU102" s="160" t="s">
        <v>477</v>
      </c>
      <c r="BV102" s="160" t="s">
        <v>478</v>
      </c>
      <c r="BW102" s="160" t="s">
        <v>479</v>
      </c>
      <c r="BX102" s="160" t="s">
        <v>480</v>
      </c>
      <c r="BY102" s="160" t="s">
        <v>449</v>
      </c>
      <c r="BZ102" s="160" t="s">
        <v>157</v>
      </c>
      <c r="CA102" s="160" t="s">
        <v>473</v>
      </c>
      <c r="CB102" s="160" t="s">
        <v>474</v>
      </c>
      <c r="CC102" s="160" t="s">
        <v>46</v>
      </c>
      <c r="CD102" s="212" t="s">
        <v>11</v>
      </c>
      <c r="CE102" s="211" t="s">
        <v>472</v>
      </c>
      <c r="CF102" s="160" t="s">
        <v>156</v>
      </c>
      <c r="CG102" s="160" t="s">
        <v>475</v>
      </c>
      <c r="CH102" s="160" t="s">
        <v>476</v>
      </c>
      <c r="CI102" s="160" t="s">
        <v>477</v>
      </c>
      <c r="CJ102" s="160" t="s">
        <v>478</v>
      </c>
      <c r="CK102" s="160" t="s">
        <v>479</v>
      </c>
      <c r="CL102" s="160" t="s">
        <v>480</v>
      </c>
      <c r="CM102" s="160" t="s">
        <v>449</v>
      </c>
      <c r="CN102" s="160" t="s">
        <v>157</v>
      </c>
      <c r="CO102" s="160" t="s">
        <v>473</v>
      </c>
      <c r="CP102" s="160" t="s">
        <v>474</v>
      </c>
      <c r="CQ102" s="160" t="s">
        <v>46</v>
      </c>
      <c r="CR102" s="212" t="s">
        <v>11</v>
      </c>
      <c r="CV102" s="263"/>
      <c r="CW102" s="263"/>
      <c r="CX102" s="264" t="s">
        <v>156</v>
      </c>
      <c r="CY102" s="264" t="s">
        <v>478</v>
      </c>
      <c r="CZ102" s="264" t="s">
        <v>479</v>
      </c>
      <c r="DA102" s="264" t="s">
        <v>157</v>
      </c>
      <c r="DB102" s="264" t="s">
        <v>156</v>
      </c>
      <c r="DC102" s="264" t="s">
        <v>478</v>
      </c>
      <c r="DD102" s="264" t="s">
        <v>479</v>
      </c>
      <c r="DE102" s="264" t="s">
        <v>157</v>
      </c>
      <c r="DF102" s="264" t="s">
        <v>156</v>
      </c>
      <c r="DG102" s="264" t="s">
        <v>478</v>
      </c>
      <c r="DH102" s="264" t="s">
        <v>479</v>
      </c>
      <c r="DI102" s="264" t="s">
        <v>157</v>
      </c>
      <c r="DJ102" s="264" t="s">
        <v>156</v>
      </c>
      <c r="DK102" s="264" t="s">
        <v>478</v>
      </c>
      <c r="DL102" s="264" t="s">
        <v>479</v>
      </c>
      <c r="DM102" s="264" t="s">
        <v>157</v>
      </c>
      <c r="DN102" s="264" t="s">
        <v>156</v>
      </c>
      <c r="DO102" s="264" t="s">
        <v>478</v>
      </c>
      <c r="DP102" s="264" t="s">
        <v>479</v>
      </c>
      <c r="DQ102" s="264" t="s">
        <v>157</v>
      </c>
      <c r="DR102" s="264" t="s">
        <v>156</v>
      </c>
      <c r="DS102" s="264" t="s">
        <v>478</v>
      </c>
      <c r="DT102" s="264" t="s">
        <v>479</v>
      </c>
      <c r="DU102" s="264" t="s">
        <v>157</v>
      </c>
      <c r="DW102" s="278"/>
      <c r="DX102" s="278"/>
      <c r="DY102" s="280" t="s">
        <v>585</v>
      </c>
      <c r="DZ102" s="280" t="s">
        <v>259</v>
      </c>
      <c r="EB102" s="278"/>
      <c r="EC102" s="278"/>
      <c r="ED102" s="280" t="s">
        <v>585</v>
      </c>
      <c r="EE102" s="280" t="s">
        <v>259</v>
      </c>
      <c r="EL102" s="306" t="s">
        <v>564</v>
      </c>
      <c r="EM102" s="306" t="s">
        <v>565</v>
      </c>
      <c r="EN102" s="306" t="s">
        <v>566</v>
      </c>
      <c r="EO102" s="306" t="s">
        <v>562</v>
      </c>
      <c r="EP102" s="307" t="s">
        <v>597</v>
      </c>
      <c r="EQ102" s="307" t="s">
        <v>585</v>
      </c>
      <c r="ER102" s="307" t="s">
        <v>259</v>
      </c>
      <c r="ET102" s="420" t="s">
        <v>564</v>
      </c>
      <c r="EU102" s="420" t="s">
        <v>565</v>
      </c>
      <c r="EV102" s="420" t="s">
        <v>566</v>
      </c>
      <c r="EW102" s="420" t="s">
        <v>562</v>
      </c>
      <c r="EX102" s="421" t="s">
        <v>597</v>
      </c>
      <c r="EY102" s="421" t="s">
        <v>585</v>
      </c>
      <c r="EZ102" s="421" t="s">
        <v>259</v>
      </c>
      <c r="FA102" s="424" t="s">
        <v>865</v>
      </c>
      <c r="FD102" s="306" t="s">
        <v>564</v>
      </c>
      <c r="FE102" s="306" t="s">
        <v>565</v>
      </c>
      <c r="FF102" s="306" t="s">
        <v>566</v>
      </c>
      <c r="FG102" s="306" t="s">
        <v>562</v>
      </c>
      <c r="FH102" s="307" t="s">
        <v>597</v>
      </c>
      <c r="FI102" s="307" t="s">
        <v>585</v>
      </c>
      <c r="FJ102" s="307" t="s">
        <v>259</v>
      </c>
      <c r="FL102" s="101"/>
      <c r="FM102" s="101"/>
      <c r="FN102" s="101"/>
      <c r="FO102" s="101"/>
      <c r="FP102" s="374"/>
      <c r="FQ102" s="374"/>
      <c r="FR102" s="374"/>
    </row>
    <row r="103" spans="1:174">
      <c r="A103" s="205"/>
      <c r="B103" s="205" t="s">
        <v>12</v>
      </c>
      <c r="C103" s="400">
        <f>$AB61*KTDB_TripDistribution_2045!L$12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56.332223266466215</v>
      </c>
      <c r="D103" s="400">
        <f>$AB61*KTDB_TripDistribution_2045!M$12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438.04688025325623</v>
      </c>
      <c r="E103" s="400">
        <f>$AB61*KTDB_TripDistribution_2045!N$12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19.416582641697467</v>
      </c>
      <c r="F103" s="400">
        <f>$AB61*KTDB_TripDistribution_2045!O$12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5.2655139367315293E-2</v>
      </c>
      <c r="G103" s="400">
        <f>$AB61*KTDB_TripDistribution_2045!P$12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0.14918956154072616</v>
      </c>
      <c r="H103" s="400">
        <f>$AB61*KTDB_TripDistribution_2045!Q$12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513.99753086232806</v>
      </c>
      <c r="J103" s="230">
        <f t="shared" ref="J103:J107" si="46">CR103</f>
        <v>513.99753086232795</v>
      </c>
      <c r="K103" s="206"/>
      <c r="L103" s="206" t="s">
        <v>12</v>
      </c>
      <c r="M103" s="206">
        <f>INDEX($A$102:$H$115,MATCH($L103,$B$102:$B$115,0),MATCH($M$101,$A$102:$H$102,0))*고양시_Modal_split!C$3 * 0.01</f>
        <v>0.15773022514610538</v>
      </c>
      <c r="N103" s="206">
        <f>INDEX($A$102:$H$115,MATCH($L103,$B$102:$B$115,0),MATCH($M$101,$A$102:$H$102,0))*고양시_Modal_split!D$3 * 0.01</f>
        <v>26.493044602219062</v>
      </c>
      <c r="O103" s="206">
        <f>INDEX($A$102:$H$115,MATCH($L103,$B$102:$B$115,0),MATCH($M$101,$A$102:$H$102,0))*고양시_Modal_split!E$3 * 0.01</f>
        <v>3.2053035038619271</v>
      </c>
      <c r="P103" s="206">
        <f>INDEX($A$102:$H$115,MATCH($L103,$B$102:$B$115,0),MATCH($M$101,$A$102:$H$102,0))*고양시_Modal_split!F$3 * 0.01</f>
        <v>5.1656648735349515</v>
      </c>
      <c r="Q103" s="206">
        <f>INDEX($A$102:$H$115,MATCH($L103,$B$102:$B$115,0),MATCH($M$101,$A$102:$H$102,0))*고양시_Modal_split!G$3 * 0.01</f>
        <v>0.51825645405148912</v>
      </c>
      <c r="R103" s="206">
        <f>INDEX($A$102:$H$115,MATCH($L103,$B$102:$B$115,0),MATCH($M$101,$A$102:$H$102,0))*고양시_Modal_split!H$3 * 0.01</f>
        <v>5.6332223266466223E-3</v>
      </c>
      <c r="S103" s="206">
        <f>INDEX($A$102:$H$115,MATCH($L103,$B$102:$B$115,0),MATCH($M$101,$A$102:$H$102,0))*고양시_Modal_split!I$3 * 0.01</f>
        <v>1.5660358068077609</v>
      </c>
      <c r="T103" s="206">
        <f>INDEX($A$102:$H$115,MATCH($L103,$B$102:$B$115,0),MATCH($M$101,$A$102:$H$102,0))*고양시_Modal_split!J$3 * 0.01</f>
        <v>17.147528762312319</v>
      </c>
      <c r="U103" s="206">
        <f>INDEX($A$102:$H$115,MATCH($L103,$B$102:$B$115,0),MATCH($M$101,$A$102:$H$102,0))*고양시_Modal_split!K$3 * 0.01</f>
        <v>8.4498334899699309E-2</v>
      </c>
      <c r="V103" s="206">
        <f>INDEX($A$102:$H$115,MATCH($L103,$B$102:$B$115,0),MATCH($M$101,$A$102:$H$102,0))*고양시_Modal_split!L$3 * 0.01</f>
        <v>1.7012331426472798</v>
      </c>
      <c r="W103" s="206">
        <f>INDEX($A$102:$H$115,MATCH($L103,$B$102:$B$115,0),MATCH($M$101,$A$102:$H$102,0))*고양시_Modal_split!M$3 * 0.01</f>
        <v>0.12956411351287228</v>
      </c>
      <c r="X103" s="206">
        <f>INDEX($A$102:$H$115,MATCH($L103,$B$102:$B$115,0),MATCH($M$101,$A$102:$H$102,0))*고양시_Modal_split!N$3 * 0.01</f>
        <v>5.6332223266466218E-2</v>
      </c>
      <c r="Y103" s="206">
        <f>INDEX($A$102:$H$115,MATCH($L103,$B$102:$B$115,0),MATCH($M$101,$A$102:$H$102,0))*고양시_Modal_split!O$3 * 0.01</f>
        <v>0.1013980018796392</v>
      </c>
      <c r="Z103" s="209">
        <f>INDEX($A$102:$H$115,MATCH($L103,$B$102:$B$115,0),MATCH($M$101,$A$102:$H$102,0))*고양시_Modal_split!P$3 * 0.01</f>
        <v>56.332223266466215</v>
      </c>
      <c r="AA103" s="207">
        <f>INDEX($A$102:$H$115,MATCH($L103,$B$102:$B$115,0),MATCH($AA$101,$A$102:$H$102,0))*고양시_Modal_split!C$3 * 0.01</f>
        <v>1.2265312647091173</v>
      </c>
      <c r="AB103" s="207">
        <f>INDEX($A$102:$H$115,MATCH($L103,$B$102:$B$115,0),MATCH($AA$101,$A$102:$H$102,0))*고양시_Modal_split!D$3 * 0.01</f>
        <v>206.01344778310641</v>
      </c>
      <c r="AC103" s="207">
        <f>INDEX($A$102:$H$115,MATCH($L103,$B$102:$B$115,0),MATCH($AA$101,$A$102:$H$102,0))*고양시_Modal_split!E$3 * 0.01</f>
        <v>24.924867486410278</v>
      </c>
      <c r="AD103" s="207">
        <f>INDEX($A$102:$H$115,MATCH($L103,$B$102:$B$115,0),MATCH($AA$101,$A$102:$H$102,0))*고양시_Modal_split!F$3 * 0.01</f>
        <v>40.168898919223601</v>
      </c>
      <c r="AE103" s="207">
        <f>INDEX($A$102:$H$115,MATCH($L103,$B$102:$B$115,0),MATCH($AA$101,$A$102:$H$102,0))*고양시_Modal_split!G$3 * 0.01</f>
        <v>4.0300312983299573</v>
      </c>
      <c r="AF103" s="207">
        <f>INDEX($A$102:$H$115,MATCH($L103,$B$102:$B$115,0),MATCH($AA$101,$A$102:$H$102,0))*고양시_Modal_split!H$3 * 0.01</f>
        <v>4.3804688025325625E-2</v>
      </c>
      <c r="AG103" s="207">
        <f>INDEX($A$102:$H$115,MATCH($L103,$B$102:$B$115,0),MATCH($AA$101,$A$102:$H$102,0))*고양시_Modal_split!I$3 * 0.01</f>
        <v>12.177703271040523</v>
      </c>
      <c r="AH103" s="207">
        <f>INDEX($A$102:$H$115,MATCH($L103,$B$102:$B$115,0),MATCH($AA$101,$A$102:$H$102,0))*고양시_Modal_split!J$3 * 0.01</f>
        <v>133.3414703490912</v>
      </c>
      <c r="AI103" s="207">
        <f>INDEX($A$102:$H$115,MATCH($L103,$B$102:$B$115,0),MATCH($AA$101,$A$102:$H$102,0))*고양시_Modal_split!K$3 * 0.01</f>
        <v>0.65707032037988433</v>
      </c>
      <c r="AJ103" s="207">
        <f>INDEX($A$102:$H$115,MATCH($L103,$B$102:$B$115,0),MATCH($AA$101,$A$102:$H$102,0))*고양시_Modal_split!L$3 * 0.01</f>
        <v>13.229015783648338</v>
      </c>
      <c r="AK103" s="207">
        <f>INDEX($A$102:$H$115,MATCH($L103,$B$102:$B$115,0),MATCH($AA$101,$A$102:$H$102,0))*고양시_Modal_split!M$3 * 0.01</f>
        <v>1.0075078245824893</v>
      </c>
      <c r="AL103" s="207">
        <f>INDEX($A$102:$H$115,MATCH($L103,$B$102:$B$115,0),MATCH($AA$101,$A$102:$H$102,0))*고양시_Modal_split!N$3 * 0.01</f>
        <v>0.43804688025325628</v>
      </c>
      <c r="AM103" s="207">
        <f>INDEX($A$102:$H$115,MATCH($L103,$B$102:$B$115,0),MATCH($AA$101,$A$102:$H$102,0))*고양시_Modal_split!O$3 * 0.01</f>
        <v>0.78848438445586133</v>
      </c>
      <c r="AN103" s="207">
        <f>INDEX($A$102:$H$115,MATCH($L103,$B$102:$B$115,0),MATCH($AA$101,$A$102:$H$102,0))*고양시_Modal_split!P$3 * 0.01</f>
        <v>438.04688025325623</v>
      </c>
      <c r="AO103" s="303">
        <f>INDEX($A$102:$H$115,MATCH($L103,$B$102:$B$115,0),MATCH($AO$101,$A$102:$H$102,0))*고양시_Modal_split!C$3 * 0.01</f>
        <v>5.4366431396752901E-2</v>
      </c>
      <c r="AP103" s="303">
        <f>INDEX($A$102:$H$115,MATCH($L103,$B$102:$B$115,0),MATCH($AO$101,$A$102:$H$102,0))*고양시_Modal_split!D$3 * 0.01</f>
        <v>9.1316188163903185</v>
      </c>
      <c r="AQ103" s="303">
        <f>INDEX($A$102:$H$115,MATCH($L103,$B$102:$B$115,0),MATCH($AO$101,$A$102:$H$102,0))*고양시_Modal_split!E$3 * 0.01</f>
        <v>1.1048035523125856</v>
      </c>
      <c r="AR103" s="303">
        <f>INDEX($A$102:$H$115,MATCH($L103,$B$102:$B$115,0),MATCH($AO$101,$A$102:$H$102,0))*고양시_Modal_split!F$3 * 0.01</f>
        <v>1.7805006282436577</v>
      </c>
      <c r="AS103" s="303">
        <f>INDEX($A$102:$H$115,MATCH($L103,$B$102:$B$115,0),MATCH($AO$101,$A$102:$H$102,0))*고양시_Modal_split!G$3 * 0.01</f>
        <v>0.17863256030361668</v>
      </c>
      <c r="AT103" s="303">
        <f>INDEX($A$102:$H$115,MATCH($L103,$B$102:$B$115,0),MATCH($AO$101,$A$102:$H$102,0))*고양시_Modal_split!H$3 * 0.01</f>
        <v>1.9416582641697466E-3</v>
      </c>
      <c r="AU103" s="303">
        <f>INDEX($A$102:$H$115,MATCH($L103,$B$102:$B$115,0),MATCH($AO$101,$A$102:$H$102,0))*고양시_Modal_split!I$3 * 0.01</f>
        <v>0.5397809974391895</v>
      </c>
      <c r="AV103" s="303">
        <f>INDEX($A$102:$H$115,MATCH($L103,$B$102:$B$115,0),MATCH($AO$101,$A$102:$H$102,0))*고양시_Modal_split!J$3 * 0.01</f>
        <v>5.9104077561327095</v>
      </c>
      <c r="AW103" s="303">
        <f>INDEX($A$102:$H$115,MATCH($L103,$B$102:$B$115,0),MATCH($AO$101,$A$102:$H$102,0))*고양시_Modal_split!K$3 * 0.01</f>
        <v>2.9124873962546198E-2</v>
      </c>
      <c r="AX103" s="303">
        <f>INDEX($A$102:$H$115,MATCH($L103,$B$102:$B$115,0),MATCH($AO$101,$A$102:$H$102,0))*고양시_Modal_split!L$3 * 0.01</f>
        <v>0.5863807957792635</v>
      </c>
      <c r="AY103" s="303">
        <f>INDEX($A$102:$H$115,MATCH($L103,$B$102:$B$115,0),MATCH($AO$101,$A$102:$H$102,0))*고양시_Modal_split!M$3 * 0.01</f>
        <v>4.4658140075904171E-2</v>
      </c>
      <c r="AZ103" s="303">
        <f>INDEX($A$102:$H$115,MATCH($L103,$B$102:$B$115,0),MATCH($AO$101,$A$102:$H$102,0))*고양시_Modal_split!N$3 * 0.01</f>
        <v>1.9416582641697468E-2</v>
      </c>
      <c r="BA103" s="207">
        <f>INDEX($A$102:$H$115,MATCH($L103,$B$102:$B$115,0),MATCH($AO$101,$A$102:$H$102,0))*고양시_Modal_split!O$3 * 0.01</f>
        <v>3.494984875505544E-2</v>
      </c>
      <c r="BB103" s="207">
        <f>INDEX($A$102:$H$115,MATCH($L103,$B$102:$B$115,0),MATCH($AO$101,$A$102:$H$102,0))*고양시_Modal_split!P$3 * 0.01</f>
        <v>19.416582641697467</v>
      </c>
      <c r="BC103" s="207">
        <f>INDEX($A$102:$H$115,MATCH($L103,$B$102:$B$115,0),MATCH($BC$101,$A$102:$H$102,0))*고양시_Modal_split!C$3 * 0.01</f>
        <v>1.4743439022848283E-4</v>
      </c>
      <c r="BD103" s="207">
        <f>INDEX($A$102:$H$115,MATCH($L103,$B$102:$B$115,0),MATCH($BC$101,$A$102:$H$102,0))*고양시_Modal_split!D$3 * 0.01</f>
        <v>2.4763712044448383E-2</v>
      </c>
      <c r="BE103" s="207">
        <f>INDEX($A$102:$H$115,MATCH($L103,$B$102:$B$115,0),MATCH($BC$101,$A$102:$H$102,0))*고양시_Modal_split!E$3 * 0.01</f>
        <v>2.9960774300002396E-3</v>
      </c>
      <c r="BF103" s="207">
        <f>INDEX($A$102:$H$115,MATCH($L103,$B$102:$B$115,0),MATCH($BC$101,$A$102:$H$102,0))*고양시_Modal_split!F$3 * 0.01</f>
        <v>4.8284762799828121E-3</v>
      </c>
      <c r="BG103" s="207">
        <f>INDEX($A$102:$H$115,MATCH($L103,$B$102:$B$115,0),MATCH($BC$101,$A$102:$H$102,0))*고양시_Modal_split!G$3 * 0.01</f>
        <v>4.8442728217930071E-4</v>
      </c>
      <c r="BH103" s="207">
        <f>INDEX($A$102:$H$115,MATCH($L103,$B$102:$B$115,0),MATCH($BC$101,$A$102:$H$102,0))*고양시_Modal_split!H$3 * 0.01</f>
        <v>5.2655139367315302E-6</v>
      </c>
      <c r="BI103" s="207">
        <f>INDEX($A$102:$H$115,MATCH($L103,$B$102:$B$115,0),MATCH($BC$101,$A$102:$H$102,0))*고양시_Modal_split!I$3 * 0.01</f>
        <v>1.4638128744113652E-3</v>
      </c>
      <c r="BJ103" s="207">
        <f>INDEX($A$102:$H$115,MATCH($L103,$B$102:$B$115,0),MATCH($BC$101,$A$102:$H$102,0))*고양시_Modal_split!J$3 * 0.01</f>
        <v>1.6028224423410776E-2</v>
      </c>
      <c r="BK103" s="207">
        <f>INDEX($A$102:$H$115,MATCH($L103,$B$102:$B$115,0),MATCH($BC$101,$A$102:$H$102,0))*고양시_Modal_split!K$3 * 0.01</f>
        <v>7.8982709050972935E-5</v>
      </c>
      <c r="BL103" s="207">
        <f>INDEX($A$102:$H$115,MATCH($L103,$B$102:$B$115,0),MATCH($BC$101,$A$102:$H$102,0))*고양시_Modal_split!L$3 * 0.01</f>
        <v>1.5901852088929219E-3</v>
      </c>
      <c r="BM103" s="207">
        <f>INDEX($A$102:$H$115,MATCH($L103,$B$102:$B$115,0),MATCH($BC$101,$A$102:$H$102,0))*고양시_Modal_split!M$3 * 0.01</f>
        <v>1.2110682054482518E-4</v>
      </c>
      <c r="BN103" s="207">
        <f>INDEX($A$102:$H$115,MATCH($L103,$B$102:$B$115,0),MATCH($BC$101,$A$102:$H$102,0))*고양시_Modal_split!N$3 * 0.01</f>
        <v>5.2655139367315299E-5</v>
      </c>
      <c r="BO103" s="207">
        <f>INDEX($A$102:$H$115,MATCH($L103,$B$102:$B$115,0),MATCH($BC$101,$A$102:$H$102,0))*고양시_Modal_split!O$3 * 0.01</f>
        <v>9.4779250861167527E-5</v>
      </c>
      <c r="BP103" s="207">
        <f>INDEX($A$102:$H$115,MATCH($L103,$B$102:$B$115,0),MATCH($BC$101,$A$102:$H$102,0))*고양시_Modal_split!P$3 * 0.01</f>
        <v>5.2655139367315293E-2</v>
      </c>
      <c r="BQ103" s="207">
        <f>INDEX($A$102:$H$115,MATCH($L103,$B$102:$B$115,0),MATCH($BQ$101,$A$102:$H$102,0))*고양시_Modal_split!C$3 * 0.01</f>
        <v>4.177307723140332E-4</v>
      </c>
      <c r="BR103" s="207">
        <f>INDEX($A$102:$H$115,MATCH($L103,$B$102:$B$115,0),MATCH($BQ$101,$A$102:$H$102,0))*고양시_Modal_split!D$3 * 0.01</f>
        <v>7.0163850792603524E-2</v>
      </c>
      <c r="BS103" s="207">
        <f>INDEX($A$102:$H$115,MATCH($L103,$B$102:$B$115,0),MATCH($BQ$101,$A$102:$H$102,0))*고양시_Modal_split!E$3 * 0.01</f>
        <v>8.4888860516673173E-3</v>
      </c>
      <c r="BT103" s="207">
        <f>INDEX($A$102:$H$115,MATCH($L103,$B$102:$B$115,0),MATCH($BQ$101,$A$102:$H$102,0))*고양시_Modal_split!F$3 * 0.01</f>
        <v>1.3680682793284589E-2</v>
      </c>
      <c r="BU103" s="207">
        <f>INDEX($A$102:$H$115,MATCH($L103,$B$102:$B$115,0),MATCH($BQ$101,$A$102:$H$102,0))*고양시_Modal_split!G$3 * 0.01</f>
        <v>1.3725439661746806E-3</v>
      </c>
      <c r="BV103" s="207">
        <f>INDEX($A$102:$H$115,MATCH($L103,$B$102:$B$115,0),MATCH($BQ$101,$A$102:$H$102,0))*고양시_Modal_split!H$3 * 0.01</f>
        <v>1.4918956154072617E-5</v>
      </c>
      <c r="BW103" s="207">
        <f>INDEX($A$102:$H$115,MATCH($L103,$B$102:$B$115,0),MATCH($BQ$101,$A$102:$H$102,0))*고양시_Modal_split!I$3 * 0.01</f>
        <v>4.147469810832187E-3</v>
      </c>
      <c r="BX103" s="207">
        <f>INDEX($A$102:$H$115,MATCH($L103,$B$102:$B$115,0),MATCH($BQ$101,$A$102:$H$102,0))*고양시_Modal_split!J$3 * 0.01</f>
        <v>4.5413302532997045E-2</v>
      </c>
      <c r="BY103" s="207">
        <f>INDEX($A$102:$H$115,MATCH($L103,$B$102:$B$115,0),MATCH($BQ$101,$A$102:$H$102,0))*고양시_Modal_split!K$3 * 0.01</f>
        <v>2.2378434231108923E-4</v>
      </c>
      <c r="BZ103" s="207">
        <f>INDEX($A$102:$H$115,MATCH($L103,$B$102:$B$115,0),MATCH($BQ$101,$A$102:$H$102,0))*고양시_Modal_split!L$3 * 0.01</f>
        <v>4.5055247585299302E-3</v>
      </c>
      <c r="CA103" s="207">
        <f>INDEX($A$102:$H$115,MATCH($L103,$B$102:$B$115,0),MATCH($BQ$101,$A$102:$H$102,0))*고양시_Modal_split!M$3 * 0.01</f>
        <v>3.4313599154367014E-4</v>
      </c>
      <c r="CB103" s="207">
        <f>INDEX($A$102:$H$115,MATCH($L103,$B$102:$B$115,0),MATCH($BQ$101,$A$102:$H$102,0))*고양시_Modal_split!N$3 * 0.01</f>
        <v>1.4918956154072617E-4</v>
      </c>
      <c r="CC103" s="207">
        <f>INDEX($A$102:$H$115,MATCH($L103,$B$102:$B$115,0),MATCH($BQ$101,$A$102:$H$102,0))*고양시_Modal_split!O$3 * 0.01</f>
        <v>2.6854121077330708E-4</v>
      </c>
      <c r="CD103" s="207">
        <f>INDEX($A$102:$H$115,MATCH($L103,$B$102:$B$115,0),MATCH($BQ$101,$A$102:$H$102,0))*고양시_Modal_split!P$3 * 0.01</f>
        <v>0.14918956154072616</v>
      </c>
      <c r="CE103" s="304">
        <f>M103+AA103+AO103+BC103+BQ103</f>
        <v>1.4391930864145184</v>
      </c>
      <c r="CF103" s="304">
        <f t="shared" ref="CF103:CR115" si="47">N103+AB103+AP103+BD103+BR103</f>
        <v>241.73303876455287</v>
      </c>
      <c r="CG103" s="304">
        <f t="shared" si="47"/>
        <v>29.246459506066458</v>
      </c>
      <c r="CH103" s="304">
        <f t="shared" si="47"/>
        <v>47.133573580075478</v>
      </c>
      <c r="CI103" s="304">
        <f t="shared" si="47"/>
        <v>4.7287772839334163</v>
      </c>
      <c r="CJ103" s="304">
        <f t="shared" si="47"/>
        <v>5.1399753086232798E-2</v>
      </c>
      <c r="CK103" s="304">
        <f t="shared" si="47"/>
        <v>14.289131357972716</v>
      </c>
      <c r="CL103" s="304">
        <f t="shared" si="47"/>
        <v>156.46084839449267</v>
      </c>
      <c r="CM103" s="304">
        <f t="shared" si="47"/>
        <v>0.77099629629349176</v>
      </c>
      <c r="CN103" s="304">
        <f t="shared" si="47"/>
        <v>15.522725432042304</v>
      </c>
      <c r="CO103" s="304">
        <f t="shared" si="47"/>
        <v>1.1821943209833541</v>
      </c>
      <c r="CP103" s="304">
        <f t="shared" si="47"/>
        <v>0.51399753086232802</v>
      </c>
      <c r="CQ103" s="304">
        <f t="shared" si="47"/>
        <v>0.92519555555219057</v>
      </c>
      <c r="CR103" s="304">
        <f t="shared" si="47"/>
        <v>513.99753086232795</v>
      </c>
      <c r="CS103" s="305">
        <f>H103-CR103</f>
        <v>0</v>
      </c>
      <c r="CV103" s="265"/>
      <c r="CW103" s="265" t="s">
        <v>12</v>
      </c>
      <c r="CX103" s="267">
        <f>INDEX($M$101:$Z$115,MATCH($CW103,$L$101:$L$115,0),MATCH(CX$102,$M$102:$Z$102,0))/INDEX(고양시_재차인원!$D$4:$H$35,MATCH("고양시",고양시_재차인원!$B$4:$B$35,0),MATCH($CX$101,고양시_재차인원!$D$4:$H$4,0))</f>
        <v>23.654504109124161</v>
      </c>
      <c r="CY103" s="267">
        <f>INDEX($M$101:$Z$115,MATCH($CW103,$L$101:$L$115,0),MATCH(CY$102,$M$102:$Z$102,0))/INDEX(고양시_재차인원!$K$4:$O$20,MATCH("경기도",고양시_재차인원!$K$4:$K$20,0),MATCH(CY$102,고양시_재차인원!$K$4:$O$4,0))</f>
        <v>1.9566593701447109E-4</v>
      </c>
      <c r="CZ103" s="267">
        <f>INDEX($M$101:$Z$115,MATCH($CW103,$L$101:$L$115,0),MATCH(CZ$102,$M$102:$Z$102,0))/INDEX(고양시_재차인원!$K$4:$O$20,MATCH("경기도",고양시_재차인원!$K$4:$K$20,0),MATCH(CZ$102,고양시_재차인원!$K$4:$O$4,0))</f>
        <v>5.439513049002296E-2</v>
      </c>
      <c r="DA103" s="267">
        <f>INDEX($M$101:$Z$115,MATCH($CW103,$L$101:$L$115,0),MATCH(DA$102,$M$102:$Z$102,0))/INDEX(고양시_재차인원!$D$4:$H$35,MATCH("고양시",고양시_재차인원!$B$4:$B$35,0),MATCH($CX$101,고양시_재차인원!$D$4:$H$4,0))</f>
        <v>1.5189581630779283</v>
      </c>
      <c r="DB103" s="267">
        <f>INDEX($AA$101:$AN$115,MATCH($CW103,$L$101:$L$115,0),MATCH(DB$102,$AA$102:$AN$102,0))/INDEX(고양시_재차인원!$D$4:$H$35,MATCH("고양시",고양시_재차인원!$B$4:$B$35,0),MATCH($DB$101,고양시_재차인원!$D$4:$H$4,0))</f>
        <v>146.10882821496909</v>
      </c>
      <c r="DC103" s="267">
        <f>INDEX($AA$101:$AN$115,MATCH($CW103,$L$101:$L$115,0),MATCH(DC$102,$AA$102:$AN$102,0))/INDEX(고양시_재차인원!$K$4:$O$20,MATCH("경기도",고양시_재차인원!$K$4:$K$20,0),MATCH(DC$102,고양시_재차인원!$K$4:$O$4,0))</f>
        <v>1.5215244190804316E-3</v>
      </c>
      <c r="DD103" s="267">
        <f>INDEX($AA$101:$AN$115,MATCH($CW103,$L$101:$L$115,0),MATCH(DD$102,$AA$102:$AN$102,0))/INDEX(고양시_재차인원!$K$4:$O$20,MATCH("경기도",고양시_재차인원!$K$4:$K$20,0),MATCH(DD$102,고양시_재차인원!$K$4:$O$4,0))</f>
        <v>0.42298378850435997</v>
      </c>
      <c r="DE103" s="267">
        <f>INDEX($AA$101:$AN$115,MATCH($CW103,$L$101:$L$115,0),MATCH(DE$102,$AA$102:$AN$102,0))/INDEX(고양시_재차인원!$D$4:$H$35,MATCH("고양시",고양시_재차인원!$B$4:$B$35,0),MATCH($DB$101,고양시_재차인원!$D$4:$H$4,0))</f>
        <v>9.3822806976229352</v>
      </c>
      <c r="DF103" s="267">
        <f>INDEX($AO$101:$BB$115,MATCH($CW103,$L$101:$L$115,0),MATCH(DF$102,$AO$102:$BB$102,0))/INDEX(고양시_재차인원!$D$4:$H$35,MATCH("고양시",고양시_재차인원!$B$4:$B$35,0),MATCH($DF$101,고양시_재차인원!$D$4:$H$4,0))</f>
        <v>7.0243221664540911</v>
      </c>
      <c r="DG103" s="267">
        <f>INDEX($AO$101:$BB$115,MATCH($CW103,$L$101:$L$115,0),MATCH(DG$102,$AO$102:$BB$102,0))/INDEX(고양시_재차인원!$K$4:$O$20,MATCH("경기도",고양시_재차인원!$K$4:$K$20,0),MATCH(DG$102,고양시_재차인원!$K$4:$O$4,0))</f>
        <v>6.7442107126423992E-5</v>
      </c>
      <c r="DH103" s="267">
        <f>INDEX($AO$101:$BB$115,MATCH($CW103,$L$101:$L$115,0),MATCH(DH$102,$AO$102:$BB$102,0))/INDEX(고양시_재차인원!$K$4:$O$20,MATCH("경기도",고양시_재차인원!$K$4:$K$20,0),MATCH(DH$102,고양시_재차인원!$K$4:$O$4,0))</f>
        <v>1.8748905781145866E-2</v>
      </c>
      <c r="DI103" s="267">
        <f>INDEX($AO$101:$BB$115,MATCH($CW103,$L$101:$L$115,0),MATCH(DI$102,$AO$102:$BB$102,0))/INDEX(고양시_재차인원!$D$4:$H$35,MATCH("고양시",고양시_재차인원!$B$4:$B$35,0),MATCH($DF$101,고양시_재차인원!$D$4:$H$4,0))</f>
        <v>0.45106215059943344</v>
      </c>
      <c r="DJ103" s="267">
        <f>INDEX($BC$101:$BP$115,MATCH($CW103,$L$101:$L$115,0),MATCH(DJ$102,$BC$102:$BP$102,0))/INDEX(고양시_재차인원!$D$4:$H$35,MATCH("고양시",고양시_재차인원!$B$4:$B$35,0),MATCH($DJ$101,고양시_재차인원!$D$4:$H$4,0))</f>
        <v>1.8208611797388516E-2</v>
      </c>
      <c r="DK103" s="267">
        <f>INDEX($BC$101:$BP$115,MATCH($CW103,$L$101:$L$115,0),MATCH(DK$102,$BC$102:$BP$102,0))/INDEX(고양시_재차인원!$K$4:$O$20,MATCH("경기도",고양시_재차인원!$K$4:$K$20,0),MATCH(DK$102,고양시_재차인원!$K$4:$O$4,0))</f>
        <v>1.8289384983437063E-7</v>
      </c>
      <c r="DL103" s="267">
        <f>INDEX($BC$101:$BP$115,MATCH($CW103,$L$101:$L$115,0),MATCH(DL$102,$BC$102:$BP$102,0))/INDEX(고양시_재차인원!$K$4:$O$20,MATCH("경기도",고양시_재차인원!$K$4:$K$20,0),MATCH(DL$102,고양시_재차인원!$K$4:$O$4,0))</f>
        <v>5.084449025395503E-5</v>
      </c>
      <c r="DM103" s="267">
        <f>INDEX($BC$101:$BP$115,MATCH($CW103,$L$101:$L$115,0),MATCH(DM$102,$BC$102:$BP$102,0))/INDEX(고양시_재차인원!$D$4:$H$35,MATCH("고양시",고양시_재차인원!$B$4:$B$35,0),MATCH($DJ$101,고양시_재차인원!$D$4:$H$4,0))</f>
        <v>1.1692538300683249E-3</v>
      </c>
      <c r="DN103" s="267">
        <f>INDEX($BQ$101:$CD$115,MATCH($CW103,$L$101:$L$115,0),MATCH(DN$102,$BQ$102:$CD$102,0))/INDEX(고양시_재차인원!$D$4:$H$35,MATCH("고양시",고양시_재차인원!$B$4:$B$35,0),MATCH($DN$101,고양시_재차인원!$D$4:$H$4,0))</f>
        <v>5.5685595867145651E-2</v>
      </c>
      <c r="DO103" s="267">
        <f>INDEX($BQ$101:$CD$115,MATCH($CW103,$L$101:$L$115,0),MATCH(DO$102,$BQ$102:$CD$102,0))/INDEX(고양시_재차인원!$K$4:$O$20,MATCH("경기도",고양시_재차인원!$K$4:$K$20,0),MATCH(DO$102,고양시_재차인원!$K$4:$O$4,0))</f>
        <v>5.1819924119738162E-7</v>
      </c>
      <c r="DP103" s="267">
        <f>INDEX($BQ$101:$CD$115,MATCH($CW103,$L$101:$L$115,0),MATCH(DP$102,$BQ$102:$CD$102,0))/INDEX(고양시_재차인원!$K$4:$O$20,MATCH("경기도",고양시_재차인원!$K$4:$K$20,0),MATCH(DP$102,고양시_재차인원!$K$4:$O$4,0))</f>
        <v>1.4405938905287207E-4</v>
      </c>
      <c r="DQ103" s="267">
        <f>INDEX($BQ$101:$CD$115,MATCH($CW103,$L$101:$L$115,0),MATCH(DQ$102,$BQ$102:$CD$102,0))/INDEX(고양시_재차인원!$D$4:$H$35,MATCH("고양시",고양시_재차인원!$B$4:$B$35,0),MATCH($DN$101,고양시_재차인원!$D$4:$H$4,0))</f>
        <v>3.5758133004205796E-3</v>
      </c>
      <c r="DR103" s="270">
        <f>CX103+DB103+DF103+DJ103+DN103</f>
        <v>176.86154869821186</v>
      </c>
      <c r="DS103" s="270">
        <f t="shared" ref="DS103:DU115" si="48">CY103+DC103+DG103+DK103+DO103</f>
        <v>1.7853335563123587E-3</v>
      </c>
      <c r="DT103" s="270">
        <f t="shared" si="48"/>
        <v>0.49632272865483562</v>
      </c>
      <c r="DU103" s="270">
        <f t="shared" si="48"/>
        <v>11.357046078430786</v>
      </c>
      <c r="DW103" s="278"/>
      <c r="DX103" s="278" t="s">
        <v>12</v>
      </c>
      <c r="DY103" s="281">
        <f>DR103+DU103</f>
        <v>188.21859477664265</v>
      </c>
      <c r="DZ103" s="281">
        <f>DS103+DT103</f>
        <v>0.49810806221114801</v>
      </c>
      <c r="EB103" s="278"/>
      <c r="EC103" s="278" t="s">
        <v>12</v>
      </c>
      <c r="ED103" s="281">
        <f>DY103</f>
        <v>188.21859477664265</v>
      </c>
      <c r="EE103" s="281">
        <f t="shared" ref="EE103:EE115" si="49">DZ103</f>
        <v>0.49810806221114801</v>
      </c>
      <c r="EL103" s="306" t="s">
        <v>12</v>
      </c>
      <c r="EM103" s="306" t="s">
        <v>567</v>
      </c>
      <c r="EN103" s="306">
        <v>8014.2473</v>
      </c>
      <c r="EO103" s="306">
        <v>0.11966025175817722</v>
      </c>
      <c r="EP103" s="307">
        <v>849101</v>
      </c>
      <c r="EQ103" s="308">
        <f>VLOOKUP($EL103,$EC$102:$EE$114,2,FALSE)*$EO103</f>
        <v>22.522284436543401</v>
      </c>
      <c r="ER103" s="308">
        <f>VLOOKUP($EL103,$EC$102:$EE$114,3,FALSE)*$EO103</f>
        <v>5.960373612696377E-2</v>
      </c>
      <c r="ET103" s="420" t="s">
        <v>12</v>
      </c>
      <c r="EU103" s="420" t="s">
        <v>567</v>
      </c>
      <c r="EV103" s="420">
        <v>8014.2473</v>
      </c>
      <c r="EW103" s="420">
        <v>0.11966025175817722</v>
      </c>
      <c r="EX103" s="421">
        <v>849101</v>
      </c>
      <c r="EY103" s="422">
        <f>EQ103*$AV$11*(1-$AZ$7)</f>
        <v>21.880399330101916</v>
      </c>
      <c r="EZ103" s="422">
        <f>ER103*AV$11*(1-$AZ$7)</f>
        <v>5.7905029647345306E-2</v>
      </c>
      <c r="FA103">
        <v>0</v>
      </c>
      <c r="FD103" s="306" t="s">
        <v>12</v>
      </c>
      <c r="FE103" s="306" t="s">
        <v>567</v>
      </c>
      <c r="FF103" s="306">
        <v>8014.2473</v>
      </c>
      <c r="FG103" s="306">
        <v>0.11966025175817722</v>
      </c>
      <c r="FH103" s="307">
        <v>849101</v>
      </c>
      <c r="FI103" s="308">
        <f>EY103*$FB$95</f>
        <v>21.880399330101916</v>
      </c>
      <c r="FJ103" s="308">
        <f t="shared" ref="FJ103:FJ136" si="50">EZ103*$FB$95</f>
        <v>5.7905029647345306E-2</v>
      </c>
      <c r="FL103" s="101"/>
      <c r="FM103" s="101"/>
      <c r="FN103" s="101"/>
      <c r="FO103" s="101"/>
      <c r="FP103" s="374"/>
      <c r="FQ103" s="404"/>
      <c r="FR103" s="404"/>
    </row>
    <row r="104" spans="1:174" ht="25">
      <c r="A104" s="205"/>
      <c r="B104" s="205" t="s">
        <v>667</v>
      </c>
      <c r="C104" s="400">
        <f>$AB62*KTDB_TripDistribution_2045!L$12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1226.7847684155845</v>
      </c>
      <c r="D104" s="400">
        <f>$AB62*KTDB_TripDistribution_2045!M$12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9539.6419559843762</v>
      </c>
      <c r="E104" s="400">
        <f>$AB62*KTDB_TripDistribution_2045!N$12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422.84799814916204</v>
      </c>
      <c r="F104" s="400">
        <f>$AB62*KTDB_TripDistribution_2045!O$12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1.1467064356587471</v>
      </c>
      <c r="G104" s="400">
        <f>$AB62*KTDB_TripDistribution_2045!P$12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3.2490015676997723</v>
      </c>
      <c r="H104" s="400">
        <f>$AB62*KTDB_TripDistribution_2045!Q$12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11193.67043055248</v>
      </c>
      <c r="J104" s="230">
        <f t="shared" si="46"/>
        <v>11193.67043055248</v>
      </c>
      <c r="K104" s="206"/>
      <c r="L104" s="206" t="s">
        <v>667</v>
      </c>
      <c r="M104" s="206">
        <f>INDEX($A$102:$H$115,MATCH($L104,$B$102:$B$115,0),MATCH($M$101,$A$102:$H$102,0))*고양시_Modal_split!C$3 * 0.01</f>
        <v>3.4349973515636361</v>
      </c>
      <c r="N104" s="206">
        <f>INDEX($A$102:$H$115,MATCH($L104,$B$102:$B$115,0),MATCH($M$101,$A$102:$H$102,0))*고양시_Modal_split!D$3 * 0.01</f>
        <v>576.95687658584939</v>
      </c>
      <c r="O104" s="206">
        <f>INDEX($A$102:$H$115,MATCH($L104,$B$102:$B$115,0),MATCH($M$101,$A$102:$H$102,0))*고양시_Modal_split!E$3 * 0.01</f>
        <v>69.804053322846755</v>
      </c>
      <c r="P104" s="206">
        <f>INDEX($A$102:$H$115,MATCH($L104,$B$102:$B$115,0),MATCH($M$101,$A$102:$H$102,0))*고양시_Modal_split!F$3 * 0.01</f>
        <v>112.49616326370909</v>
      </c>
      <c r="Q104" s="206">
        <f>INDEX($A$102:$H$115,MATCH($L104,$B$102:$B$115,0),MATCH($M$101,$A$102:$H$102,0))*고양시_Modal_split!G$3 * 0.01</f>
        <v>11.286419869423376</v>
      </c>
      <c r="R104" s="206">
        <f>INDEX($A$102:$H$115,MATCH($L104,$B$102:$B$115,0),MATCH($M$101,$A$102:$H$102,0))*고양시_Modal_split!H$3 * 0.01</f>
        <v>0.12267847684155844</v>
      </c>
      <c r="S104" s="206">
        <f>INDEX($A$102:$H$115,MATCH($L104,$B$102:$B$115,0),MATCH($M$101,$A$102:$H$102,0))*고양시_Modal_split!I$3 * 0.01</f>
        <v>34.10461656195325</v>
      </c>
      <c r="T104" s="206">
        <f>INDEX($A$102:$H$115,MATCH($L104,$B$102:$B$115,0),MATCH($M$101,$A$102:$H$102,0))*고양시_Modal_split!J$3 * 0.01</f>
        <v>373.43328350570397</v>
      </c>
      <c r="U104" s="206">
        <f>INDEX($A$102:$H$115,MATCH($L104,$B$102:$B$115,0),MATCH($M$101,$A$102:$H$102,0))*고양시_Modal_split!K$3 * 0.01</f>
        <v>1.8401771526233768</v>
      </c>
      <c r="V104" s="206">
        <f>INDEX($A$102:$H$115,MATCH($L104,$B$102:$B$115,0),MATCH($M$101,$A$102:$H$102,0))*고양시_Modal_split!L$3 * 0.01</f>
        <v>37.048900006150653</v>
      </c>
      <c r="W104" s="206">
        <f>INDEX($A$102:$H$115,MATCH($L104,$B$102:$B$115,0),MATCH($M$101,$A$102:$H$102,0))*고양시_Modal_split!M$3 * 0.01</f>
        <v>2.8216049673558441</v>
      </c>
      <c r="X104" s="206">
        <f>INDEX($A$102:$H$115,MATCH($L104,$B$102:$B$115,0),MATCH($M$101,$A$102:$H$102,0))*고양시_Modal_split!N$3 * 0.01</f>
        <v>1.2267847684155846</v>
      </c>
      <c r="Y104" s="206">
        <f>INDEX($A$102:$H$115,MATCH($L104,$B$102:$B$115,0),MATCH($M$101,$A$102:$H$102,0))*고양시_Modal_split!O$3 * 0.01</f>
        <v>2.2082125831480521</v>
      </c>
      <c r="Z104" s="209">
        <f>INDEX($A$102:$H$115,MATCH($L104,$B$102:$B$115,0),MATCH($M$101,$A$102:$H$102,0))*고양시_Modal_split!P$3 * 0.01</f>
        <v>1226.7847684155845</v>
      </c>
      <c r="AA104" s="207">
        <f>INDEX($A$102:$H$115,MATCH($L104,$B$102:$B$115,0),MATCH($AA$101,$A$102:$H$102,0))*고양시_Modal_split!C$3 * 0.01</f>
        <v>26.710997476756251</v>
      </c>
      <c r="AB104" s="207">
        <f>INDEX($A$102:$H$115,MATCH($L104,$B$102:$B$115,0),MATCH($AA$101,$A$102:$H$102,0))*고양시_Modal_split!D$3 * 0.01</f>
        <v>4486.4936118994528</v>
      </c>
      <c r="AC104" s="207">
        <f>INDEX($A$102:$H$115,MATCH($L104,$B$102:$B$115,0),MATCH($AA$101,$A$102:$H$102,0))*고양시_Modal_split!E$3 * 0.01</f>
        <v>542.80562729551093</v>
      </c>
      <c r="AD104" s="207">
        <f>INDEX($A$102:$H$115,MATCH($L104,$B$102:$B$115,0),MATCH($AA$101,$A$102:$H$102,0))*고양시_Modal_split!F$3 * 0.01</f>
        <v>874.7851673637673</v>
      </c>
      <c r="AE104" s="207">
        <f>INDEX($A$102:$H$115,MATCH($L104,$B$102:$B$115,0),MATCH($AA$101,$A$102:$H$102,0))*고양시_Modal_split!G$3 * 0.01</f>
        <v>87.764705995056246</v>
      </c>
      <c r="AF104" s="207">
        <f>INDEX($A$102:$H$115,MATCH($L104,$B$102:$B$115,0),MATCH($AA$101,$A$102:$H$102,0))*고양시_Modal_split!H$3 * 0.01</f>
        <v>0.9539641955984377</v>
      </c>
      <c r="AG104" s="207">
        <f>INDEX($A$102:$H$115,MATCH($L104,$B$102:$B$115,0),MATCH($AA$101,$A$102:$H$102,0))*고양시_Modal_split!I$3 * 0.01</f>
        <v>265.20204637636567</v>
      </c>
      <c r="AH104" s="207">
        <f>INDEX($A$102:$H$115,MATCH($L104,$B$102:$B$115,0),MATCH($AA$101,$A$102:$H$102,0))*고양시_Modal_split!J$3 * 0.01</f>
        <v>2903.867011401644</v>
      </c>
      <c r="AI104" s="207">
        <f>INDEX($A$102:$H$115,MATCH($L104,$B$102:$B$115,0),MATCH($AA$101,$A$102:$H$102,0))*고양시_Modal_split!K$3 * 0.01</f>
        <v>14.309462933976564</v>
      </c>
      <c r="AJ104" s="207">
        <f>INDEX($A$102:$H$115,MATCH($L104,$B$102:$B$115,0),MATCH($AA$101,$A$102:$H$102,0))*고양시_Modal_split!L$3 * 0.01</f>
        <v>288.09718707072818</v>
      </c>
      <c r="AK104" s="207">
        <f>INDEX($A$102:$H$115,MATCH($L104,$B$102:$B$115,0),MATCH($AA$101,$A$102:$H$102,0))*고양시_Modal_split!M$3 * 0.01</f>
        <v>21.941176498764062</v>
      </c>
      <c r="AL104" s="207">
        <f>INDEX($A$102:$H$115,MATCH($L104,$B$102:$B$115,0),MATCH($AA$101,$A$102:$H$102,0))*고양시_Modal_split!N$3 * 0.01</f>
        <v>9.5396419559843775</v>
      </c>
      <c r="AM104" s="207">
        <f>INDEX($A$102:$H$115,MATCH($L104,$B$102:$B$115,0),MATCH($AA$101,$A$102:$H$102,0))*고양시_Modal_split!O$3 * 0.01</f>
        <v>17.171355520771876</v>
      </c>
      <c r="AN104" s="207">
        <f>INDEX($A$102:$H$115,MATCH($L104,$B$102:$B$115,0),MATCH($AA$101,$A$102:$H$102,0))*고양시_Modal_split!P$3 * 0.01</f>
        <v>9539.6419559843762</v>
      </c>
      <c r="AO104" s="303">
        <f>INDEX($A$102:$H$115,MATCH($L104,$B$102:$B$115,0),MATCH($AO$101,$A$102:$H$102,0))*고양시_Modal_split!C$3 * 0.01</f>
        <v>1.1839743948176535</v>
      </c>
      <c r="AP104" s="303">
        <f>INDEX($A$102:$H$115,MATCH($L104,$B$102:$B$115,0),MATCH($AO$101,$A$102:$H$102,0))*고양시_Modal_split!D$3 * 0.01</f>
        <v>198.86541352955089</v>
      </c>
      <c r="AQ104" s="303">
        <f>INDEX($A$102:$H$115,MATCH($L104,$B$102:$B$115,0),MATCH($AO$101,$A$102:$H$102,0))*고양시_Modal_split!E$3 * 0.01</f>
        <v>24.060051094687321</v>
      </c>
      <c r="AR104" s="303">
        <f>INDEX($A$102:$H$115,MATCH($L104,$B$102:$B$115,0),MATCH($AO$101,$A$102:$H$102,0))*고양시_Modal_split!F$3 * 0.01</f>
        <v>38.77516143027816</v>
      </c>
      <c r="AS104" s="303">
        <f>INDEX($A$102:$H$115,MATCH($L104,$B$102:$B$115,0),MATCH($AO$101,$A$102:$H$102,0))*고양시_Modal_split!G$3 * 0.01</f>
        <v>3.8902015829722907</v>
      </c>
      <c r="AT104" s="303">
        <f>INDEX($A$102:$H$115,MATCH($L104,$B$102:$B$115,0),MATCH($AO$101,$A$102:$H$102,0))*고양시_Modal_split!H$3 * 0.01</f>
        <v>4.2284799814916209E-2</v>
      </c>
      <c r="AU104" s="303">
        <f>INDEX($A$102:$H$115,MATCH($L104,$B$102:$B$115,0),MATCH($AO$101,$A$102:$H$102,0))*고양시_Modal_split!I$3 * 0.01</f>
        <v>11.755174348546705</v>
      </c>
      <c r="AV104" s="303">
        <f>INDEX($A$102:$H$115,MATCH($L104,$B$102:$B$115,0),MATCH($AO$101,$A$102:$H$102,0))*고양시_Modal_split!J$3 * 0.01</f>
        <v>128.71493063660495</v>
      </c>
      <c r="AW104" s="303">
        <f>INDEX($A$102:$H$115,MATCH($L104,$B$102:$B$115,0),MATCH($AO$101,$A$102:$H$102,0))*고양시_Modal_split!K$3 * 0.01</f>
        <v>0.63427199722374306</v>
      </c>
      <c r="AX104" s="303">
        <f>INDEX($A$102:$H$115,MATCH($L104,$B$102:$B$115,0),MATCH($AO$101,$A$102:$H$102,0))*고양시_Modal_split!L$3 * 0.01</f>
        <v>12.770009544104694</v>
      </c>
      <c r="AY104" s="303">
        <f>INDEX($A$102:$H$115,MATCH($L104,$B$102:$B$115,0),MATCH($AO$101,$A$102:$H$102,0))*고양시_Modal_split!M$3 * 0.01</f>
        <v>0.97255039574307267</v>
      </c>
      <c r="AZ104" s="303">
        <f>INDEX($A$102:$H$115,MATCH($L104,$B$102:$B$115,0),MATCH($AO$101,$A$102:$H$102,0))*고양시_Modal_split!N$3 * 0.01</f>
        <v>0.42284799814916207</v>
      </c>
      <c r="BA104" s="207">
        <f>INDEX($A$102:$H$115,MATCH($L104,$B$102:$B$115,0),MATCH($AO$101,$A$102:$H$102,0))*고양시_Modal_split!O$3 * 0.01</f>
        <v>0.76112639666849169</v>
      </c>
      <c r="BB104" s="207">
        <f>INDEX($A$102:$H$115,MATCH($L104,$B$102:$B$115,0),MATCH($AO$101,$A$102:$H$102,0))*고양시_Modal_split!P$3 * 0.01</f>
        <v>422.84799814916204</v>
      </c>
      <c r="BC104" s="207">
        <f>INDEX($A$102:$H$115,MATCH($L104,$B$102:$B$115,0),MATCH($BC$101,$A$102:$H$102,0))*고양시_Modal_split!C$3 * 0.01</f>
        <v>3.2107780198444916E-3</v>
      </c>
      <c r="BD104" s="207">
        <f>INDEX($A$102:$H$115,MATCH($L104,$B$102:$B$115,0),MATCH($BC$101,$A$102:$H$102,0))*고양시_Modal_split!D$3 * 0.01</f>
        <v>0.53929603669030879</v>
      </c>
      <c r="BE104" s="207">
        <f>INDEX($A$102:$H$115,MATCH($L104,$B$102:$B$115,0),MATCH($BC$101,$A$102:$H$102,0))*고양시_Modal_split!E$3 * 0.01</f>
        <v>6.5247596188982696E-2</v>
      </c>
      <c r="BF104" s="207">
        <f>INDEX($A$102:$H$115,MATCH($L104,$B$102:$B$115,0),MATCH($BC$101,$A$102:$H$102,0))*고양시_Modal_split!F$3 * 0.01</f>
        <v>0.10515298014990711</v>
      </c>
      <c r="BG104" s="207">
        <f>INDEX($A$102:$H$115,MATCH($L104,$B$102:$B$115,0),MATCH($BC$101,$A$102:$H$102,0))*고양시_Modal_split!G$3 * 0.01</f>
        <v>1.0549699208060473E-2</v>
      </c>
      <c r="BH104" s="207">
        <f>INDEX($A$102:$H$115,MATCH($L104,$B$102:$B$115,0),MATCH($BC$101,$A$102:$H$102,0))*고양시_Modal_split!H$3 * 0.01</f>
        <v>1.146706435658747E-4</v>
      </c>
      <c r="BI104" s="207">
        <f>INDEX($A$102:$H$115,MATCH($L104,$B$102:$B$115,0),MATCH($BC$101,$A$102:$H$102,0))*고양시_Modal_split!I$3 * 0.01</f>
        <v>3.1878438911313166E-2</v>
      </c>
      <c r="BJ104" s="207">
        <f>INDEX($A$102:$H$115,MATCH($L104,$B$102:$B$115,0),MATCH($BC$101,$A$102:$H$102,0))*고양시_Modal_split!J$3 * 0.01</f>
        <v>0.34905743901452263</v>
      </c>
      <c r="BK104" s="207">
        <f>INDEX($A$102:$H$115,MATCH($L104,$B$102:$B$115,0),MATCH($BC$101,$A$102:$H$102,0))*고양시_Modal_split!K$3 * 0.01</f>
        <v>1.7200596534881205E-3</v>
      </c>
      <c r="BL104" s="207">
        <f>INDEX($A$102:$H$115,MATCH($L104,$B$102:$B$115,0),MATCH($BC$101,$A$102:$H$102,0))*고양시_Modal_split!L$3 * 0.01</f>
        <v>3.4630534356894165E-2</v>
      </c>
      <c r="BM104" s="207">
        <f>INDEX($A$102:$H$115,MATCH($L104,$B$102:$B$115,0),MATCH($BC$101,$A$102:$H$102,0))*고양시_Modal_split!M$3 * 0.01</f>
        <v>2.6374248020151181E-3</v>
      </c>
      <c r="BN104" s="207">
        <f>INDEX($A$102:$H$115,MATCH($L104,$B$102:$B$115,0),MATCH($BC$101,$A$102:$H$102,0))*고양시_Modal_split!N$3 * 0.01</f>
        <v>1.1467064356587471E-3</v>
      </c>
      <c r="BO104" s="207">
        <f>INDEX($A$102:$H$115,MATCH($L104,$B$102:$B$115,0),MATCH($BC$101,$A$102:$H$102,0))*고양시_Modal_split!O$3 * 0.01</f>
        <v>2.0640715841857447E-3</v>
      </c>
      <c r="BP104" s="207">
        <f>INDEX($A$102:$H$115,MATCH($L104,$B$102:$B$115,0),MATCH($BC$101,$A$102:$H$102,0))*고양시_Modal_split!P$3 * 0.01</f>
        <v>1.1467064356587471</v>
      </c>
      <c r="BQ104" s="207">
        <f>INDEX($A$102:$H$115,MATCH($L104,$B$102:$B$115,0),MATCH($BQ$101,$A$102:$H$102,0))*고양시_Modal_split!C$3 * 0.01</f>
        <v>9.0972043895593616E-3</v>
      </c>
      <c r="BR104" s="207">
        <f>INDEX($A$102:$H$115,MATCH($L104,$B$102:$B$115,0),MATCH($BQ$101,$A$102:$H$102,0))*고양시_Modal_split!D$3 * 0.01</f>
        <v>1.5280054372892031</v>
      </c>
      <c r="BS104" s="207">
        <f>INDEX($A$102:$H$115,MATCH($L104,$B$102:$B$115,0),MATCH($BQ$101,$A$102:$H$102,0))*고양시_Modal_split!E$3 * 0.01</f>
        <v>0.18486818920211703</v>
      </c>
      <c r="BT104" s="207">
        <f>INDEX($A$102:$H$115,MATCH($L104,$B$102:$B$115,0),MATCH($BQ$101,$A$102:$H$102,0))*고양시_Modal_split!F$3 * 0.01</f>
        <v>0.29793344375806913</v>
      </c>
      <c r="BU104" s="207">
        <f>INDEX($A$102:$H$115,MATCH($L104,$B$102:$B$115,0),MATCH($BQ$101,$A$102:$H$102,0))*고양시_Modal_split!G$3 * 0.01</f>
        <v>2.9890814422837902E-2</v>
      </c>
      <c r="BV104" s="207">
        <f>INDEX($A$102:$H$115,MATCH($L104,$B$102:$B$115,0),MATCH($BQ$101,$A$102:$H$102,0))*고양시_Modal_split!H$3 * 0.01</f>
        <v>3.2490015676997725E-4</v>
      </c>
      <c r="BW104" s="207">
        <f>INDEX($A$102:$H$115,MATCH($L104,$B$102:$B$115,0),MATCH($BQ$101,$A$102:$H$102,0))*고양시_Modal_split!I$3 * 0.01</f>
        <v>9.0322243582053666E-2</v>
      </c>
      <c r="BX104" s="207">
        <f>INDEX($A$102:$H$115,MATCH($L104,$B$102:$B$115,0),MATCH($BQ$101,$A$102:$H$102,0))*고양시_Modal_split!J$3 * 0.01</f>
        <v>0.9889960772078108</v>
      </c>
      <c r="BY104" s="207">
        <f>INDEX($A$102:$H$115,MATCH($L104,$B$102:$B$115,0),MATCH($BQ$101,$A$102:$H$102,0))*고양시_Modal_split!K$3 * 0.01</f>
        <v>4.8735023515496583E-3</v>
      </c>
      <c r="BZ104" s="207">
        <f>INDEX($A$102:$H$115,MATCH($L104,$B$102:$B$115,0),MATCH($BQ$101,$A$102:$H$102,0))*고양시_Modal_split!L$3 * 0.01</f>
        <v>9.8119847344533134E-2</v>
      </c>
      <c r="CA104" s="207">
        <f>INDEX($A$102:$H$115,MATCH($L104,$B$102:$B$115,0),MATCH($BQ$101,$A$102:$H$102,0))*고양시_Modal_split!M$3 * 0.01</f>
        <v>7.4727036057094754E-3</v>
      </c>
      <c r="CB104" s="207">
        <f>INDEX($A$102:$H$115,MATCH($L104,$B$102:$B$115,0),MATCH($BQ$101,$A$102:$H$102,0))*고양시_Modal_split!N$3 * 0.01</f>
        <v>3.2490015676997727E-3</v>
      </c>
      <c r="CC104" s="207">
        <f>INDEX($A$102:$H$115,MATCH($L104,$B$102:$B$115,0),MATCH($BQ$101,$A$102:$H$102,0))*고양시_Modal_split!O$3 * 0.01</f>
        <v>5.8482028218595911E-3</v>
      </c>
      <c r="CD104" s="207">
        <f>INDEX($A$102:$H$115,MATCH($L104,$B$102:$B$115,0),MATCH($BQ$101,$A$102:$H$102,0))*고양시_Modal_split!P$3 * 0.01</f>
        <v>3.2490015676997723</v>
      </c>
      <c r="CE104" s="304">
        <f t="shared" ref="CE104:CE115" si="51">M104+AA104+AO104+BC104+BQ104</f>
        <v>31.342277205546942</v>
      </c>
      <c r="CF104" s="304">
        <f t="shared" si="47"/>
        <v>5264.3832034888328</v>
      </c>
      <c r="CG104" s="304">
        <f t="shared" si="47"/>
        <v>636.91984749843618</v>
      </c>
      <c r="CH104" s="304">
        <f t="shared" si="47"/>
        <v>1026.4595784816622</v>
      </c>
      <c r="CI104" s="304">
        <f t="shared" si="47"/>
        <v>102.98176796108281</v>
      </c>
      <c r="CJ104" s="304">
        <f t="shared" si="47"/>
        <v>1.1193670430552485</v>
      </c>
      <c r="CK104" s="304">
        <f t="shared" si="47"/>
        <v>311.184037969359</v>
      </c>
      <c r="CL104" s="304">
        <f t="shared" si="47"/>
        <v>3407.3532790601753</v>
      </c>
      <c r="CM104" s="304">
        <f t="shared" si="47"/>
        <v>16.790505645828723</v>
      </c>
      <c r="CN104" s="304">
        <f t="shared" si="47"/>
        <v>338.04884700268497</v>
      </c>
      <c r="CO104" s="304">
        <f t="shared" si="47"/>
        <v>25.745441990270702</v>
      </c>
      <c r="CP104" s="304">
        <f t="shared" si="47"/>
        <v>11.193670430552482</v>
      </c>
      <c r="CQ104" s="304">
        <f t="shared" si="47"/>
        <v>20.148606774994466</v>
      </c>
      <c r="CR104" s="304">
        <f t="shared" si="47"/>
        <v>11193.67043055248</v>
      </c>
      <c r="CS104" s="305">
        <f t="shared" ref="CS104:CS115" si="52">H104-CR104</f>
        <v>0</v>
      </c>
      <c r="CV104" s="265"/>
      <c r="CW104" s="265" t="s">
        <v>667</v>
      </c>
      <c r="CX104" s="267">
        <f>INDEX($M$101:$Z$115,MATCH($CW104,$L$101:$L$115,0),MATCH(CX$102,$M$102:$Z$102,0))/INDEX(고양시_재차인원!$D$4:$H$35,MATCH("고양시",고양시_재차인원!$B$4:$B$35,0),MATCH($CX$101,고양시_재차인원!$D$4:$H$4,0))</f>
        <v>515.1400683802226</v>
      </c>
      <c r="CY104" s="267">
        <f>INDEX($M$101:$Z$115,MATCH($CW104,$L$101:$L$115,0),MATCH(CY$102,$M$102:$Z$102,0))/INDEX(고양시_재차인원!$K$4:$O$20,MATCH("경기도",고양시_재차인원!$K$4:$K$20,0),MATCH(CY$102,고양시_재차인원!$K$4:$O$4,0))</f>
        <v>4.2611489003667397E-3</v>
      </c>
      <c r="CZ104" s="267">
        <f>INDEX($M$101:$Z$115,MATCH($CW104,$L$101:$L$115,0),MATCH(CZ$102,$M$102:$Z$102,0))/INDEX(고양시_재차인원!$K$4:$O$20,MATCH("경기도",고양시_재차인원!$K$4:$K$20,0),MATCH(CZ$102,고양시_재차인원!$K$4:$O$4,0))</f>
        <v>1.1845993943019539</v>
      </c>
      <c r="DA104" s="267">
        <f>INDEX($M$101:$Z$115,MATCH($CW104,$L$101:$L$115,0),MATCH(DA$102,$M$102:$Z$102,0))/INDEX(고양시_재차인원!$D$4:$H$35,MATCH("고양시",고양시_재차인원!$B$4:$B$35,0),MATCH($CX$101,고양시_재차인원!$D$4:$H$4,0))</f>
        <v>33.079375005491649</v>
      </c>
      <c r="DB104" s="267">
        <f>INDEX($AA$101:$AN$115,MATCH($CW104,$L$101:$L$115,0),MATCH(DB$102,$AA$102:$AN$102,0))/INDEX(고양시_재차인원!$D$4:$H$35,MATCH("고양시",고양시_재차인원!$B$4:$B$35,0),MATCH($DB$101,고양시_재차인원!$D$4:$H$4,0))</f>
        <v>3181.9103630492577</v>
      </c>
      <c r="DC104" s="267">
        <f>INDEX($AA$101:$AN$115,MATCH($CW104,$L$101:$L$115,0),MATCH(DC$102,$AA$102:$AN$102,0))/INDEX(고양시_재차인원!$K$4:$O$20,MATCH("경기도",고양시_재차인원!$K$4:$K$20,0),MATCH(DC$102,고양시_재차인원!$K$4:$O$4,0))</f>
        <v>3.3135262090949559E-2</v>
      </c>
      <c r="DD104" s="267">
        <f>INDEX($AA$101:$AN$115,MATCH($CW104,$L$101:$L$115,0),MATCH(DD$102,$AA$102:$AN$102,0))/INDEX(고양시_재차인원!$K$4:$O$20,MATCH("경기도",고양시_재차인원!$K$4:$K$20,0),MATCH(DD$102,고양시_재차인원!$K$4:$O$4,0))</f>
        <v>9.2116028612839767</v>
      </c>
      <c r="DE104" s="267">
        <f>INDEX($AA$101:$AN$115,MATCH($CW104,$L$101:$L$115,0),MATCH(DE$102,$AA$102:$AN$102,0))/INDEX(고양시_재차인원!$D$4:$H$35,MATCH("고양시",고양시_재차인원!$B$4:$B$35,0),MATCH($DB$101,고양시_재차인원!$D$4:$H$4,0))</f>
        <v>204.32424614945262</v>
      </c>
      <c r="DF104" s="267">
        <f>INDEX($AO$101:$BB$115,MATCH($CW104,$L$101:$L$115,0),MATCH(DF$102,$AO$102:$BB$102,0))/INDEX(고양시_재차인원!$D$4:$H$35,MATCH("고양시",고양시_재차인원!$B$4:$B$35,0),MATCH($DF$101,고양시_재차인원!$D$4:$H$4,0))</f>
        <v>152.97339502273144</v>
      </c>
      <c r="DG104" s="267">
        <f>INDEX($AO$101:$BB$115,MATCH($CW104,$L$101:$L$115,0),MATCH(DG$102,$AO$102:$BB$102,0))/INDEX(고양시_재차인원!$K$4:$O$20,MATCH("경기도",고양시_재차인원!$K$4:$K$20,0),MATCH(DG$102,고양시_재차인원!$K$4:$O$4,0))</f>
        <v>1.4687321922513446E-3</v>
      </c>
      <c r="DH104" s="267">
        <f>INDEX($AO$101:$BB$115,MATCH($CW104,$L$101:$L$115,0),MATCH(DH$102,$AO$102:$BB$102,0))/INDEX(고양시_재차인원!$K$4:$O$20,MATCH("경기도",고양시_재차인원!$K$4:$K$20,0),MATCH(DH$102,고양시_재차인원!$K$4:$O$4,0))</f>
        <v>0.40830754944587372</v>
      </c>
      <c r="DI104" s="267">
        <f>INDEX($AO$101:$BB$115,MATCH($CW104,$L$101:$L$115,0),MATCH(DI$102,$AO$102:$BB$102,0))/INDEX(고양시_재차인원!$D$4:$H$35,MATCH("고양시",고양시_재차인원!$B$4:$B$35,0),MATCH($DF$101,고양시_재차인원!$D$4:$H$4,0))</f>
        <v>9.8230842646959182</v>
      </c>
      <c r="DJ104" s="267">
        <f>INDEX($BC$101:$BP$115,MATCH($CW104,$L$101:$L$115,0),MATCH(DJ$102,$BC$102:$BP$102,0))/INDEX(고양시_재차인원!$D$4:$H$35,MATCH("고양시",고양시_재차인원!$B$4:$B$35,0),MATCH($DJ$101,고양시_재차인원!$D$4:$H$4,0))</f>
        <v>0.39654120344875643</v>
      </c>
      <c r="DK104" s="267">
        <f>INDEX($BC$101:$BP$115,MATCH($CW104,$L$101:$L$115,0),MATCH(DK$102,$BC$102:$BP$102,0))/INDEX(고양시_재차인원!$K$4:$O$20,MATCH("경기도",고양시_재차인원!$K$4:$K$20,0),MATCH(DK$102,고양시_재차인원!$K$4:$O$4,0))</f>
        <v>3.9830025552578918E-6</v>
      </c>
      <c r="DL104" s="267">
        <f>INDEX($BC$101:$BP$115,MATCH($CW104,$L$101:$L$115,0),MATCH(DL$102,$BC$102:$BP$102,0))/INDEX(고양시_재차인원!$K$4:$O$20,MATCH("경기도",고양시_재차인원!$K$4:$K$20,0),MATCH(DL$102,고양시_재차인원!$K$4:$O$4,0))</f>
        <v>1.1072747103616938E-3</v>
      </c>
      <c r="DM104" s="267">
        <f>INDEX($BC$101:$BP$115,MATCH($CW104,$L$101:$L$115,0),MATCH(DM$102,$BC$102:$BP$102,0))/INDEX(고양시_재차인원!$D$4:$H$35,MATCH("고양시",고양시_재차인원!$B$4:$B$35,0),MATCH($DJ$101,고양시_재차인원!$D$4:$H$4,0))</f>
        <v>2.5463628203598647E-2</v>
      </c>
      <c r="DN104" s="267">
        <f>INDEX($BQ$101:$CD$115,MATCH($CW104,$L$101:$L$115,0),MATCH(DN$102,$BQ$102:$CD$102,0))/INDEX(고양시_재차인원!$D$4:$H$35,MATCH("고양시",고양시_재차인원!$B$4:$B$35,0),MATCH($DN$101,고양시_재차인원!$D$4:$H$4,0))</f>
        <v>1.2127027280073042</v>
      </c>
      <c r="DO104" s="267">
        <f>INDEX($BQ$101:$CD$115,MATCH($CW104,$L$101:$L$115,0),MATCH(DO$102,$BQ$102:$CD$102,0))/INDEX(고양시_재차인원!$K$4:$O$20,MATCH("경기도",고양시_재차인원!$K$4:$K$20,0),MATCH(DO$102,고양시_재차인원!$K$4:$O$4,0))</f>
        <v>1.1285173906563989E-5</v>
      </c>
      <c r="DP104" s="267">
        <f>INDEX($BQ$101:$CD$115,MATCH($CW104,$L$101:$L$115,0),MATCH(DP$102,$BQ$102:$CD$102,0))/INDEX(고양시_재차인원!$K$4:$O$20,MATCH("경기도",고양시_재차인원!$K$4:$K$20,0),MATCH(DP$102,고양시_재차인원!$K$4:$O$4,0))</f>
        <v>3.137278346024789E-3</v>
      </c>
      <c r="DQ104" s="267">
        <f>INDEX($BQ$101:$CD$115,MATCH($CW104,$L$101:$L$115,0),MATCH(DQ$102,$BQ$102:$CD$102,0))/INDEX(고양시_재차인원!$D$4:$H$35,MATCH("고양시",고양시_재차인원!$B$4:$B$35,0),MATCH($DN$101,고양시_재차인원!$D$4:$H$4,0))</f>
        <v>7.7872894717883445E-2</v>
      </c>
      <c r="DR104" s="270">
        <f t="shared" ref="DR104:DR115" si="53">CX104+DB104+DF104+DJ104+DN104</f>
        <v>3851.6330703836675</v>
      </c>
      <c r="DS104" s="270">
        <f t="shared" si="48"/>
        <v>3.8880411360029468E-2</v>
      </c>
      <c r="DT104" s="270">
        <f t="shared" si="48"/>
        <v>10.808754358088191</v>
      </c>
      <c r="DU104" s="270">
        <f t="shared" si="48"/>
        <v>247.33004194256165</v>
      </c>
      <c r="DW104" s="278"/>
      <c r="DX104" s="278" t="s">
        <v>667</v>
      </c>
      <c r="DY104" s="281">
        <f t="shared" ref="DY104:DY115" si="54">DR104+DU104</f>
        <v>4098.9631123262288</v>
      </c>
      <c r="DZ104" s="281">
        <f t="shared" ref="DZ104:DZ115" si="55">DS104+DT104</f>
        <v>10.84763476944822</v>
      </c>
      <c r="EB104" s="278"/>
      <c r="EC104" s="278" t="s">
        <v>667</v>
      </c>
      <c r="ED104" s="281">
        <f t="shared" ref="ED104:ED115" si="56">DY104</f>
        <v>4098.9631123262288</v>
      </c>
      <c r="EE104" s="281">
        <f t="shared" si="49"/>
        <v>10.84763476944822</v>
      </c>
      <c r="EL104" s="306" t="s">
        <v>12</v>
      </c>
      <c r="EM104" s="306" t="s">
        <v>610</v>
      </c>
      <c r="EN104" s="306">
        <v>5231.5074000000004</v>
      </c>
      <c r="EO104" s="306">
        <v>7.8111327130966773E-2</v>
      </c>
      <c r="EP104" s="307">
        <v>849102</v>
      </c>
      <c r="EQ104" s="308">
        <f t="shared" ref="EQ104:EQ137" si="57">VLOOKUP($EL104,$EC$102:$EE$114,2,FALSE)*$EO104</f>
        <v>14.702004228729209</v>
      </c>
      <c r="ER104" s="308">
        <f t="shared" ref="ER104:ER137" si="58">VLOOKUP($EL104,$EC$102:$EE$114,3,FALSE)*$EO104</f>
        <v>3.8907881793946927E-2</v>
      </c>
      <c r="ET104" s="420" t="s">
        <v>12</v>
      </c>
      <c r="EU104" s="420" t="s">
        <v>610</v>
      </c>
      <c r="EV104" s="420">
        <v>5231.5074000000004</v>
      </c>
      <c r="EW104" s="420">
        <v>7.8111327130966773E-2</v>
      </c>
      <c r="EX104" s="421">
        <v>849102</v>
      </c>
      <c r="EY104" s="422">
        <f t="shared" ref="EY104:EY136" si="59">EQ104*$AV$11*(1-$AZ$7)</f>
        <v>14.282997108210427</v>
      </c>
      <c r="EZ104" s="422">
        <f t="shared" ref="EZ104:EZ136" si="60">ER104*AV$11*(1-$AZ$7)</f>
        <v>3.7799007162819441E-2</v>
      </c>
      <c r="FA104">
        <v>0</v>
      </c>
      <c r="FD104" s="306" t="s">
        <v>12</v>
      </c>
      <c r="FE104" s="306" t="s">
        <v>610</v>
      </c>
      <c r="FF104" s="306">
        <v>5231.5074000000004</v>
      </c>
      <c r="FG104" s="306">
        <v>7.8111327130966773E-2</v>
      </c>
      <c r="FH104" s="307">
        <v>849102</v>
      </c>
      <c r="FI104" s="308">
        <f t="shared" ref="FI104:FI136" si="61">EY104*$FB$95</f>
        <v>14.282997108210427</v>
      </c>
      <c r="FJ104" s="308">
        <f t="shared" si="50"/>
        <v>3.7799007162819441E-2</v>
      </c>
      <c r="FL104" s="101"/>
      <c r="FM104" s="101"/>
      <c r="FN104" s="101"/>
      <c r="FO104" s="101"/>
      <c r="FP104" s="374"/>
      <c r="FQ104" s="404"/>
      <c r="FR104" s="404"/>
    </row>
    <row r="105" spans="1:174" ht="25">
      <c r="A105" s="205"/>
      <c r="B105" s="205" t="s">
        <v>669</v>
      </c>
      <c r="C105" s="400">
        <f>$AB63*KTDB_TripDistribution_2045!L$12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922.13630018746278</v>
      </c>
      <c r="D105" s="400">
        <f>$AB63*KTDB_TripDistribution_2045!M$12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7170.6548409186889</v>
      </c>
      <c r="E105" s="400">
        <f>$AB63*KTDB_TripDistribution_2045!N$12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317.84180778388441</v>
      </c>
      <c r="F105" s="400">
        <f>$AB63*KTDB_TripDistribution_2045!O$12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0.86194388551562107</v>
      </c>
      <c r="G105" s="400">
        <f>$AB63*KTDB_TripDistribution_2045!P$12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2.4421743422942503</v>
      </c>
      <c r="H105" s="400">
        <f>$AB63*KTDB_TripDistribution_2045!Q$12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8413.9370671178476</v>
      </c>
      <c r="J105" s="230">
        <f t="shared" si="46"/>
        <v>8413.937067117844</v>
      </c>
      <c r="K105" s="206"/>
      <c r="L105" s="206" t="s">
        <v>669</v>
      </c>
      <c r="M105" s="206">
        <f>INDEX($A$102:$H$115,MATCH($L105,$B$102:$B$115,0),MATCH($M$101,$A$102:$H$102,0))*고양시_Modal_split!C$3 * 0.01</f>
        <v>2.5819816405248956</v>
      </c>
      <c r="N105" s="206">
        <f>INDEX($A$102:$H$115,MATCH($L105,$B$102:$B$115,0),MATCH($M$101,$A$102:$H$102,0))*고양시_Modal_split!D$3 * 0.01</f>
        <v>433.68070197816377</v>
      </c>
      <c r="O105" s="206">
        <f>INDEX($A$102:$H$115,MATCH($L105,$B$102:$B$115,0),MATCH($M$101,$A$102:$H$102,0))*고양시_Modal_split!E$3 * 0.01</f>
        <v>52.469555480666635</v>
      </c>
      <c r="P105" s="206">
        <f>INDEX($A$102:$H$115,MATCH($L105,$B$102:$B$115,0),MATCH($M$101,$A$102:$H$102,0))*고양시_Modal_split!F$3 * 0.01</f>
        <v>84.559898727190344</v>
      </c>
      <c r="Q105" s="206">
        <f>INDEX($A$102:$H$115,MATCH($L105,$B$102:$B$115,0),MATCH($M$101,$A$102:$H$102,0))*고양시_Modal_split!G$3 * 0.01</f>
        <v>8.4836539617246576</v>
      </c>
      <c r="R105" s="206">
        <f>INDEX($A$102:$H$115,MATCH($L105,$B$102:$B$115,0),MATCH($M$101,$A$102:$H$102,0))*고양시_Modal_split!H$3 * 0.01</f>
        <v>9.2213630018746287E-2</v>
      </c>
      <c r="S105" s="206">
        <f>INDEX($A$102:$H$115,MATCH($L105,$B$102:$B$115,0),MATCH($M$101,$A$102:$H$102,0))*고양시_Modal_split!I$3 * 0.01</f>
        <v>25.635389145211462</v>
      </c>
      <c r="T105" s="206">
        <f>INDEX($A$102:$H$115,MATCH($L105,$B$102:$B$115,0),MATCH($M$101,$A$102:$H$102,0))*고양시_Modal_split!J$3 * 0.01</f>
        <v>280.69828977706368</v>
      </c>
      <c r="U105" s="206">
        <f>INDEX($A$102:$H$115,MATCH($L105,$B$102:$B$115,0),MATCH($M$101,$A$102:$H$102,0))*고양시_Modal_split!K$3 * 0.01</f>
        <v>1.3832044502811942</v>
      </c>
      <c r="V105" s="206">
        <f>INDEX($A$102:$H$115,MATCH($L105,$B$102:$B$115,0),MATCH($M$101,$A$102:$H$102,0))*고양시_Modal_split!L$3 * 0.01</f>
        <v>27.848516265661377</v>
      </c>
      <c r="W105" s="206">
        <f>INDEX($A$102:$H$115,MATCH($L105,$B$102:$B$115,0),MATCH($M$101,$A$102:$H$102,0))*고양시_Modal_split!M$3 * 0.01</f>
        <v>2.1209134904311644</v>
      </c>
      <c r="X105" s="206">
        <f>INDEX($A$102:$H$115,MATCH($L105,$B$102:$B$115,0),MATCH($M$101,$A$102:$H$102,0))*고양시_Modal_split!N$3 * 0.01</f>
        <v>0.92213630018746284</v>
      </c>
      <c r="Y105" s="206">
        <f>INDEX($A$102:$H$115,MATCH($L105,$B$102:$B$115,0),MATCH($M$101,$A$102:$H$102,0))*고양시_Modal_split!O$3 * 0.01</f>
        <v>1.6598453403374331</v>
      </c>
      <c r="Z105" s="209">
        <f>INDEX($A$102:$H$115,MATCH($L105,$B$102:$B$115,0),MATCH($M$101,$A$102:$H$102,0))*고양시_Modal_split!P$3 * 0.01</f>
        <v>922.13630018746278</v>
      </c>
      <c r="AA105" s="207">
        <f>INDEX($A$102:$H$115,MATCH($L105,$B$102:$B$115,0),MATCH($AA$101,$A$102:$H$102,0))*고양시_Modal_split!C$3 * 0.01</f>
        <v>20.077833554572329</v>
      </c>
      <c r="AB105" s="207">
        <f>INDEX($A$102:$H$115,MATCH($L105,$B$102:$B$115,0),MATCH($AA$101,$A$102:$H$102,0))*고양시_Modal_split!D$3 * 0.01</f>
        <v>3372.3589716840593</v>
      </c>
      <c r="AC105" s="207">
        <f>INDEX($A$102:$H$115,MATCH($L105,$B$102:$B$115,0),MATCH($AA$101,$A$102:$H$102,0))*고양시_Modal_split!E$3 * 0.01</f>
        <v>408.01026044827336</v>
      </c>
      <c r="AD105" s="207">
        <f>INDEX($A$102:$H$115,MATCH($L105,$B$102:$B$115,0),MATCH($AA$101,$A$102:$H$102,0))*고양시_Modal_split!F$3 * 0.01</f>
        <v>657.54904891224373</v>
      </c>
      <c r="AE105" s="207">
        <f>INDEX($A$102:$H$115,MATCH($L105,$B$102:$B$115,0),MATCH($AA$101,$A$102:$H$102,0))*고양시_Modal_split!G$3 * 0.01</f>
        <v>65.97002453645193</v>
      </c>
      <c r="AF105" s="207">
        <f>INDEX($A$102:$H$115,MATCH($L105,$B$102:$B$115,0),MATCH($AA$101,$A$102:$H$102,0))*고양시_Modal_split!H$3 * 0.01</f>
        <v>0.71706548409186899</v>
      </c>
      <c r="AG105" s="207">
        <f>INDEX($A$102:$H$115,MATCH($L105,$B$102:$B$115,0),MATCH($AA$101,$A$102:$H$102,0))*고양시_Modal_split!I$3 * 0.01</f>
        <v>199.34420457753953</v>
      </c>
      <c r="AH105" s="207">
        <f>INDEX($A$102:$H$115,MATCH($L105,$B$102:$B$115,0),MATCH($AA$101,$A$102:$H$102,0))*고양시_Modal_split!J$3 * 0.01</f>
        <v>2182.747333575649</v>
      </c>
      <c r="AI105" s="207">
        <f>INDEX($A$102:$H$115,MATCH($L105,$B$102:$B$115,0),MATCH($AA$101,$A$102:$H$102,0))*고양시_Modal_split!K$3 * 0.01</f>
        <v>10.755982261378033</v>
      </c>
      <c r="AJ105" s="207">
        <f>INDEX($A$102:$H$115,MATCH($L105,$B$102:$B$115,0),MATCH($AA$101,$A$102:$H$102,0))*고양시_Modal_split!L$3 * 0.01</f>
        <v>216.5537761957444</v>
      </c>
      <c r="AK105" s="207">
        <f>INDEX($A$102:$H$115,MATCH($L105,$B$102:$B$115,0),MATCH($AA$101,$A$102:$H$102,0))*고양시_Modal_split!M$3 * 0.01</f>
        <v>16.492506134112983</v>
      </c>
      <c r="AL105" s="207">
        <f>INDEX($A$102:$H$115,MATCH($L105,$B$102:$B$115,0),MATCH($AA$101,$A$102:$H$102,0))*고양시_Modal_split!N$3 * 0.01</f>
        <v>7.1706548409186892</v>
      </c>
      <c r="AM105" s="207">
        <f>INDEX($A$102:$H$115,MATCH($L105,$B$102:$B$115,0),MATCH($AA$101,$A$102:$H$102,0))*고양시_Modal_split!O$3 * 0.01</f>
        <v>12.907178713653639</v>
      </c>
      <c r="AN105" s="207">
        <f>INDEX($A$102:$H$115,MATCH($L105,$B$102:$B$115,0),MATCH($AA$101,$A$102:$H$102,0))*고양시_Modal_split!P$3 * 0.01</f>
        <v>7170.6548409186889</v>
      </c>
      <c r="AO105" s="303">
        <f>INDEX($A$102:$H$115,MATCH($L105,$B$102:$B$115,0),MATCH($AO$101,$A$102:$H$102,0))*고양시_Modal_split!C$3 * 0.01</f>
        <v>0.88995706179487633</v>
      </c>
      <c r="AP105" s="303">
        <f>INDEX($A$102:$H$115,MATCH($L105,$B$102:$B$115,0),MATCH($AO$101,$A$102:$H$102,0))*고양시_Modal_split!D$3 * 0.01</f>
        <v>149.48100220076083</v>
      </c>
      <c r="AQ105" s="303">
        <f>INDEX($A$102:$H$115,MATCH($L105,$B$102:$B$115,0),MATCH($AO$101,$A$102:$H$102,0))*고양시_Modal_split!E$3 * 0.01</f>
        <v>18.08519886290302</v>
      </c>
      <c r="AR105" s="303">
        <f>INDEX($A$102:$H$115,MATCH($L105,$B$102:$B$115,0),MATCH($AO$101,$A$102:$H$102,0))*고양시_Modal_split!F$3 * 0.01</f>
        <v>29.146093773782201</v>
      </c>
      <c r="AS105" s="303">
        <f>INDEX($A$102:$H$115,MATCH($L105,$B$102:$B$115,0),MATCH($AO$101,$A$102:$H$102,0))*고양시_Modal_split!G$3 * 0.01</f>
        <v>2.9241446316117363</v>
      </c>
      <c r="AT105" s="303">
        <f>INDEX($A$102:$H$115,MATCH($L105,$B$102:$B$115,0),MATCH($AO$101,$A$102:$H$102,0))*고양시_Modal_split!H$3 * 0.01</f>
        <v>3.1784180778388439E-2</v>
      </c>
      <c r="AU105" s="303">
        <f>INDEX($A$102:$H$115,MATCH($L105,$B$102:$B$115,0),MATCH($AO$101,$A$102:$H$102,0))*고양시_Modal_split!I$3 * 0.01</f>
        <v>8.8360022563919856</v>
      </c>
      <c r="AV105" s="303">
        <f>INDEX($A$102:$H$115,MATCH($L105,$B$102:$B$115,0),MATCH($AO$101,$A$102:$H$102,0))*고양시_Modal_split!J$3 * 0.01</f>
        <v>96.751046289414433</v>
      </c>
      <c r="AW105" s="303">
        <f>INDEX($A$102:$H$115,MATCH($L105,$B$102:$B$115,0),MATCH($AO$101,$A$102:$H$102,0))*고양시_Modal_split!K$3 * 0.01</f>
        <v>0.47676271167582662</v>
      </c>
      <c r="AX105" s="303">
        <f>INDEX($A$102:$H$115,MATCH($L105,$B$102:$B$115,0),MATCH($AO$101,$A$102:$H$102,0))*고양시_Modal_split!L$3 * 0.01</f>
        <v>9.5988225950733099</v>
      </c>
      <c r="AY105" s="303">
        <f>INDEX($A$102:$H$115,MATCH($L105,$B$102:$B$115,0),MATCH($AO$101,$A$102:$H$102,0))*고양시_Modal_split!M$3 * 0.01</f>
        <v>0.73103615790293408</v>
      </c>
      <c r="AZ105" s="303">
        <f>INDEX($A$102:$H$115,MATCH($L105,$B$102:$B$115,0),MATCH($AO$101,$A$102:$H$102,0))*고양시_Modal_split!N$3 * 0.01</f>
        <v>0.31784180778388443</v>
      </c>
      <c r="BA105" s="207">
        <f>INDEX($A$102:$H$115,MATCH($L105,$B$102:$B$115,0),MATCH($AO$101,$A$102:$H$102,0))*고양시_Modal_split!O$3 * 0.01</f>
        <v>0.57211525401099184</v>
      </c>
      <c r="BB105" s="207">
        <f>INDEX($A$102:$H$115,MATCH($L105,$B$102:$B$115,0),MATCH($AO$101,$A$102:$H$102,0))*고양시_Modal_split!P$3 * 0.01</f>
        <v>317.84180778388441</v>
      </c>
      <c r="BC105" s="207">
        <f>INDEX($A$102:$H$115,MATCH($L105,$B$102:$B$115,0),MATCH($BC$101,$A$102:$H$102,0))*고양시_Modal_split!C$3 * 0.01</f>
        <v>2.4134428794437388E-3</v>
      </c>
      <c r="BD105" s="207">
        <f>INDEX($A$102:$H$115,MATCH($L105,$B$102:$B$115,0),MATCH($BC$101,$A$102:$H$102,0))*고양시_Modal_split!D$3 * 0.01</f>
        <v>0.40537220935799662</v>
      </c>
      <c r="BE105" s="207">
        <f>INDEX($A$102:$H$115,MATCH($L105,$B$102:$B$115,0),MATCH($BC$101,$A$102:$H$102,0))*고양시_Modal_split!E$3 * 0.01</f>
        <v>4.9044607085838833E-2</v>
      </c>
      <c r="BF105" s="207">
        <f>INDEX($A$102:$H$115,MATCH($L105,$B$102:$B$115,0),MATCH($BC$101,$A$102:$H$102,0))*고양시_Modal_split!F$3 * 0.01</f>
        <v>7.904025430178245E-2</v>
      </c>
      <c r="BG105" s="207">
        <f>INDEX($A$102:$H$115,MATCH($L105,$B$102:$B$115,0),MATCH($BC$101,$A$102:$H$102,0))*고양시_Modal_split!G$3 * 0.01</f>
        <v>7.9298837467437142E-3</v>
      </c>
      <c r="BH105" s="207">
        <f>INDEX($A$102:$H$115,MATCH($L105,$B$102:$B$115,0),MATCH($BC$101,$A$102:$H$102,0))*고양시_Modal_split!H$3 * 0.01</f>
        <v>8.6194388551562122E-5</v>
      </c>
      <c r="BI105" s="207">
        <f>INDEX($A$102:$H$115,MATCH($L105,$B$102:$B$115,0),MATCH($BC$101,$A$102:$H$102,0))*고양시_Modal_split!I$3 * 0.01</f>
        <v>2.3962040017334263E-2</v>
      </c>
      <c r="BJ105" s="207">
        <f>INDEX($A$102:$H$115,MATCH($L105,$B$102:$B$115,0),MATCH($BC$101,$A$102:$H$102,0))*고양시_Modal_split!J$3 * 0.01</f>
        <v>0.26237571875095511</v>
      </c>
      <c r="BK105" s="207">
        <f>INDEX($A$102:$H$115,MATCH($L105,$B$102:$B$115,0),MATCH($BC$101,$A$102:$H$102,0))*고양시_Modal_split!K$3 * 0.01</f>
        <v>1.2929158282734316E-3</v>
      </c>
      <c r="BL105" s="207">
        <f>INDEX($A$102:$H$115,MATCH($L105,$B$102:$B$115,0),MATCH($BC$101,$A$102:$H$102,0))*고양시_Modal_split!L$3 * 0.01</f>
        <v>2.6030705342571757E-2</v>
      </c>
      <c r="BM105" s="207">
        <f>INDEX($A$102:$H$115,MATCH($L105,$B$102:$B$115,0),MATCH($BC$101,$A$102:$H$102,0))*고양시_Modal_split!M$3 * 0.01</f>
        <v>1.9824709366859285E-3</v>
      </c>
      <c r="BN105" s="207">
        <f>INDEX($A$102:$H$115,MATCH($L105,$B$102:$B$115,0),MATCH($BC$101,$A$102:$H$102,0))*고양시_Modal_split!N$3 * 0.01</f>
        <v>8.6194388551562111E-4</v>
      </c>
      <c r="BO105" s="207">
        <f>INDEX($A$102:$H$115,MATCH($L105,$B$102:$B$115,0),MATCH($BC$101,$A$102:$H$102,0))*고양시_Modal_split!O$3 * 0.01</f>
        <v>1.5514989939281179E-3</v>
      </c>
      <c r="BP105" s="207">
        <f>INDEX($A$102:$H$115,MATCH($L105,$B$102:$B$115,0),MATCH($BC$101,$A$102:$H$102,0))*고양시_Modal_split!P$3 * 0.01</f>
        <v>0.86194388551562118</v>
      </c>
      <c r="BQ105" s="207">
        <f>INDEX($A$102:$H$115,MATCH($L105,$B$102:$B$115,0),MATCH($BQ$101,$A$102:$H$102,0))*고양시_Modal_split!C$3 * 0.01</f>
        <v>6.8380881584239007E-3</v>
      </c>
      <c r="BR105" s="207">
        <f>INDEX($A$102:$H$115,MATCH($L105,$B$102:$B$115,0),MATCH($BQ$101,$A$102:$H$102,0))*고양시_Modal_split!D$3 * 0.01</f>
        <v>1.148554593180986</v>
      </c>
      <c r="BS105" s="207">
        <f>INDEX($A$102:$H$115,MATCH($L105,$B$102:$B$115,0),MATCH($BQ$101,$A$102:$H$102,0))*고양시_Modal_split!E$3 * 0.01</f>
        <v>0.13895972007654284</v>
      </c>
      <c r="BT105" s="207">
        <f>INDEX($A$102:$H$115,MATCH($L105,$B$102:$B$115,0),MATCH($BQ$101,$A$102:$H$102,0))*고양시_Modal_split!F$3 * 0.01</f>
        <v>0.22394738718838278</v>
      </c>
      <c r="BU105" s="207">
        <f>INDEX($A$102:$H$115,MATCH($L105,$B$102:$B$115,0),MATCH($BQ$101,$A$102:$H$102,0))*고양시_Modal_split!G$3 * 0.01</f>
        <v>2.2468003949107102E-2</v>
      </c>
      <c r="BV105" s="207">
        <f>INDEX($A$102:$H$115,MATCH($L105,$B$102:$B$115,0),MATCH($BQ$101,$A$102:$H$102,0))*고양시_Modal_split!H$3 * 0.01</f>
        <v>2.4421743422942501E-4</v>
      </c>
      <c r="BW105" s="207">
        <f>INDEX($A$102:$H$115,MATCH($L105,$B$102:$B$115,0),MATCH($BQ$101,$A$102:$H$102,0))*고양시_Modal_split!I$3 * 0.01</f>
        <v>6.7892446715780153E-2</v>
      </c>
      <c r="BX105" s="207">
        <f>INDEX($A$102:$H$115,MATCH($L105,$B$102:$B$115,0),MATCH($BQ$101,$A$102:$H$102,0))*고양시_Modal_split!J$3 * 0.01</f>
        <v>0.74339786979436984</v>
      </c>
      <c r="BY105" s="207">
        <f>INDEX($A$102:$H$115,MATCH($L105,$B$102:$B$115,0),MATCH($BQ$101,$A$102:$H$102,0))*고양시_Modal_split!K$3 * 0.01</f>
        <v>3.6632615134413755E-3</v>
      </c>
      <c r="BZ105" s="207">
        <f>INDEX($A$102:$H$115,MATCH($L105,$B$102:$B$115,0),MATCH($BQ$101,$A$102:$H$102,0))*고양시_Modal_split!L$3 * 0.01</f>
        <v>7.3753665137286359E-2</v>
      </c>
      <c r="CA105" s="207">
        <f>INDEX($A$102:$H$115,MATCH($L105,$B$102:$B$115,0),MATCH($BQ$101,$A$102:$H$102,0))*고양시_Modal_split!M$3 * 0.01</f>
        <v>5.6170009872767756E-3</v>
      </c>
      <c r="CB105" s="207">
        <f>INDEX($A$102:$H$115,MATCH($L105,$B$102:$B$115,0),MATCH($BQ$101,$A$102:$H$102,0))*고양시_Modal_split!N$3 * 0.01</f>
        <v>2.4421743422942503E-3</v>
      </c>
      <c r="CC105" s="207">
        <f>INDEX($A$102:$H$115,MATCH($L105,$B$102:$B$115,0),MATCH($BQ$101,$A$102:$H$102,0))*고양시_Modal_split!O$3 * 0.01</f>
        <v>4.3959138161296504E-3</v>
      </c>
      <c r="CD105" s="207">
        <f>INDEX($A$102:$H$115,MATCH($L105,$B$102:$B$115,0),MATCH($BQ$101,$A$102:$H$102,0))*고양시_Modal_split!P$3 * 0.01</f>
        <v>2.4421743422942503</v>
      </c>
      <c r="CE105" s="304">
        <f t="shared" si="51"/>
        <v>23.55902378792997</v>
      </c>
      <c r="CF105" s="304">
        <f t="shared" si="47"/>
        <v>3957.0746026655229</v>
      </c>
      <c r="CG105" s="304">
        <f t="shared" si="47"/>
        <v>478.75301911900544</v>
      </c>
      <c r="CH105" s="304">
        <f t="shared" si="47"/>
        <v>771.55802905470637</v>
      </c>
      <c r="CI105" s="304">
        <f t="shared" si="47"/>
        <v>77.408221017484166</v>
      </c>
      <c r="CJ105" s="304">
        <f t="shared" si="47"/>
        <v>0.84139370671178459</v>
      </c>
      <c r="CK105" s="304">
        <f t="shared" si="47"/>
        <v>233.90745046587608</v>
      </c>
      <c r="CL105" s="304">
        <f t="shared" si="47"/>
        <v>2561.2024432306725</v>
      </c>
      <c r="CM105" s="304">
        <f t="shared" si="47"/>
        <v>12.620905600676769</v>
      </c>
      <c r="CN105" s="304">
        <f t="shared" si="47"/>
        <v>254.10089942695893</v>
      </c>
      <c r="CO105" s="304">
        <f t="shared" si="47"/>
        <v>19.352055254371042</v>
      </c>
      <c r="CP105" s="304">
        <f t="shared" si="47"/>
        <v>8.4139370671178462</v>
      </c>
      <c r="CQ105" s="304">
        <f t="shared" si="47"/>
        <v>15.145086720812122</v>
      </c>
      <c r="CR105" s="304">
        <f t="shared" si="47"/>
        <v>8413.937067117844</v>
      </c>
      <c r="CS105" s="305">
        <f t="shared" si="52"/>
        <v>0</v>
      </c>
      <c r="CV105" s="265"/>
      <c r="CW105" s="265" t="s">
        <v>669</v>
      </c>
      <c r="CX105" s="267">
        <f>INDEX($M$101:$Z$115,MATCH($CW105,$L$101:$L$115,0),MATCH(CX$102,$M$102:$Z$102,0))/INDEX(고양시_재차인원!$D$4:$H$35,MATCH("고양시",고양시_재차인원!$B$4:$B$35,0),MATCH($CX$101,고양시_재차인원!$D$4:$H$4,0))</f>
        <v>387.2149124805033</v>
      </c>
      <c r="CY105" s="267">
        <f>INDEX($M$101:$Z$115,MATCH($CW105,$L$101:$L$115,0),MATCH(CY$102,$M$102:$Z$102,0))/INDEX(고양시_재차인원!$K$4:$O$20,MATCH("경기도",고양시_재차인원!$K$4:$K$20,0),MATCH(CY$102,고양시_재차인원!$K$4:$O$4,0))</f>
        <v>3.2029742972819134E-3</v>
      </c>
      <c r="CZ105" s="267">
        <f>INDEX($M$101:$Z$115,MATCH($CW105,$L$101:$L$115,0),MATCH(CZ$102,$M$102:$Z$102,0))/INDEX(고양시_재차인원!$K$4:$O$20,MATCH("경기도",고양시_재차인원!$K$4:$K$20,0),MATCH(CZ$102,고양시_재차인원!$K$4:$O$4,0))</f>
        <v>0.89042685464437177</v>
      </c>
      <c r="DA105" s="267">
        <f>INDEX($M$101:$Z$115,MATCH($CW105,$L$101:$L$115,0),MATCH(DA$102,$M$102:$Z$102,0))/INDEX(고양시_재차인원!$D$4:$H$35,MATCH("고양시",고양시_재차인원!$B$4:$B$35,0),MATCH($CX$101,고양시_재차인원!$D$4:$H$4,0))</f>
        <v>24.864746665769086</v>
      </c>
      <c r="DB105" s="267">
        <f>INDEX($AA$101:$AN$115,MATCH($CW105,$L$101:$L$115,0),MATCH(DB$102,$AA$102:$AN$102,0))/INDEX(고양시_재차인원!$D$4:$H$35,MATCH("고양시",고양시_재차인원!$B$4:$B$35,0),MATCH($DB$101,고양시_재차인원!$D$4:$H$4,0))</f>
        <v>2391.7439515489782</v>
      </c>
      <c r="DC105" s="267">
        <f>INDEX($AA$101:$AN$115,MATCH($CW105,$L$101:$L$115,0),MATCH(DC$102,$AA$102:$AN$102,0))/INDEX(고양시_재차인원!$K$4:$O$20,MATCH("경기도",고양시_재차인원!$K$4:$K$20,0),MATCH(DC$102,고양시_재차인원!$K$4:$O$4,0))</f>
        <v>2.490675526543484E-2</v>
      </c>
      <c r="DD105" s="267">
        <f>INDEX($AA$101:$AN$115,MATCH($CW105,$L$101:$L$115,0),MATCH(DD$102,$AA$102:$AN$102,0))/INDEX(고양시_재차인원!$K$4:$O$20,MATCH("경기도",고양시_재차인원!$K$4:$K$20,0),MATCH(DD$102,고양시_재차인원!$K$4:$O$4,0))</f>
        <v>6.9240779637908831</v>
      </c>
      <c r="DE105" s="267">
        <f>INDEX($AA$101:$AN$115,MATCH($CW105,$L$101:$L$115,0),MATCH(DE$102,$AA$102:$AN$102,0))/INDEX(고양시_재차인원!$D$4:$H$35,MATCH("고양시",고양시_재차인원!$B$4:$B$35,0),MATCH($DB$101,고양시_재차인원!$D$4:$H$4,0))</f>
        <v>153.58423843669817</v>
      </c>
      <c r="DF105" s="267">
        <f>INDEX($AO$101:$BB$115,MATCH($CW105,$L$101:$L$115,0),MATCH(DF$102,$AO$102:$BB$102,0))/INDEX(고양시_재차인원!$D$4:$H$35,MATCH("고양시",고양시_재차인원!$B$4:$B$35,0),MATCH($DF$101,고양시_재차인원!$D$4:$H$4,0))</f>
        <v>114.98538630827755</v>
      </c>
      <c r="DG105" s="267">
        <f>INDEX($AO$101:$BB$115,MATCH($CW105,$L$101:$L$115,0),MATCH(DG$102,$AO$102:$BB$102,0))/INDEX(고양시_재차인원!$K$4:$O$20,MATCH("경기도",고양시_재차인원!$K$4:$K$20,0),MATCH(DG$102,고양시_재차인원!$K$4:$O$4,0))</f>
        <v>1.104000721722419E-3</v>
      </c>
      <c r="DH105" s="267">
        <f>INDEX($AO$101:$BB$115,MATCH($CW105,$L$101:$L$115,0),MATCH(DH$102,$AO$102:$BB$102,0))/INDEX(고양시_재차인원!$K$4:$O$20,MATCH("경기도",고양시_재차인원!$K$4:$K$20,0),MATCH(DH$102,고양시_재차인원!$K$4:$O$4,0))</f>
        <v>0.30691220063883246</v>
      </c>
      <c r="DI105" s="267">
        <f>INDEX($AO$101:$BB$115,MATCH($CW105,$L$101:$L$115,0),MATCH(DI$102,$AO$102:$BB$102,0))/INDEX(고양시_재차인원!$D$4:$H$35,MATCH("고양시",고양시_재차인원!$B$4:$B$35,0),MATCH($DF$101,고양시_재차인원!$D$4:$H$4,0))</f>
        <v>7.3837096885179303</v>
      </c>
      <c r="DJ105" s="267">
        <f>INDEX($BC$101:$BP$115,MATCH($CW105,$L$101:$L$115,0),MATCH(DJ$102,$BC$102:$BP$102,0))/INDEX(고양시_재차인원!$D$4:$H$35,MATCH("고양시",고양시_재차인원!$B$4:$B$35,0),MATCH($DJ$101,고양시_재차인원!$D$4:$H$4,0))</f>
        <v>0.29806780099852692</v>
      </c>
      <c r="DK105" s="267">
        <f>INDEX($BC$101:$BP$115,MATCH($CW105,$L$101:$L$115,0),MATCH(DK$102,$BC$102:$BP$102,0))/INDEX(고양시_재차인원!$K$4:$O$20,MATCH("경기도",고양시_재차인원!$K$4:$K$20,0),MATCH(DK$102,고양시_재차인원!$K$4:$O$4,0))</f>
        <v>2.9939002622980939E-6</v>
      </c>
      <c r="DL105" s="267">
        <f>INDEX($BC$101:$BP$115,MATCH($CW105,$L$101:$L$115,0),MATCH(DL$102,$BC$102:$BP$102,0))/INDEX(고양시_재차인원!$K$4:$O$20,MATCH("경기도",고양시_재차인원!$K$4:$K$20,0),MATCH(DL$102,고양시_재차인원!$K$4:$O$4,0))</f>
        <v>8.3230427291886987E-4</v>
      </c>
      <c r="DM105" s="267">
        <f>INDEX($BC$101:$BP$115,MATCH($CW105,$L$101:$L$115,0),MATCH(DM$102,$BC$102:$BP$102,0))/INDEX(고양시_재차인원!$D$4:$H$35,MATCH("고양시",고양시_재차인원!$B$4:$B$35,0),MATCH($DJ$101,고양시_재차인원!$D$4:$H$4,0))</f>
        <v>1.9140224516596877E-2</v>
      </c>
      <c r="DN105" s="267">
        <f>INDEX($BQ$101:$CD$115,MATCH($CW105,$L$101:$L$115,0),MATCH(DN$102,$BQ$102:$CD$102,0))/INDEX(고양시_재차인원!$D$4:$H$35,MATCH("고양시",고양시_재차인원!$B$4:$B$35,0),MATCH($DN$101,고양시_재차인원!$D$4:$H$4,0))</f>
        <v>0.91155126442935397</v>
      </c>
      <c r="DO105" s="267">
        <f>INDEX($BQ$101:$CD$115,MATCH($CW105,$L$101:$L$115,0),MATCH(DO$102,$BQ$102:$CD$102,0))/INDEX(고양시_재차인원!$K$4:$O$20,MATCH("경기도",고양시_재차인원!$K$4:$K$20,0),MATCH(DO$102,고양시_재차인원!$K$4:$O$4,0))</f>
        <v>8.4827174098445648E-6</v>
      </c>
      <c r="DP105" s="267">
        <f>INDEX($BQ$101:$CD$115,MATCH($CW105,$L$101:$L$115,0),MATCH(DP$102,$BQ$102:$CD$102,0))/INDEX(고양시_재차인원!$K$4:$O$20,MATCH("경기도",고양시_재차인원!$K$4:$K$20,0),MATCH(DP$102,고양시_재차인원!$K$4:$O$4,0))</f>
        <v>2.3581954399367888E-3</v>
      </c>
      <c r="DQ105" s="267">
        <f>INDEX($BQ$101:$CD$115,MATCH($CW105,$L$101:$L$115,0),MATCH(DQ$102,$BQ$102:$CD$102,0))/INDEX(고양시_재차인원!$D$4:$H$35,MATCH("고양시",고양시_재차인원!$B$4:$B$35,0),MATCH($DN$101,고양시_재차인원!$D$4:$H$4,0))</f>
        <v>5.8534654870862186E-2</v>
      </c>
      <c r="DR105" s="270">
        <f t="shared" si="53"/>
        <v>2895.1538694031869</v>
      </c>
      <c r="DS105" s="270">
        <f t="shared" si="48"/>
        <v>2.9225206902111316E-2</v>
      </c>
      <c r="DT105" s="270">
        <f t="shared" si="48"/>
        <v>8.1246075187869433</v>
      </c>
      <c r="DU105" s="270">
        <f t="shared" si="48"/>
        <v>185.91036967037266</v>
      </c>
      <c r="DW105" s="278"/>
      <c r="DX105" s="278" t="s">
        <v>669</v>
      </c>
      <c r="DY105" s="281">
        <f t="shared" si="54"/>
        <v>3081.0642390735597</v>
      </c>
      <c r="DZ105" s="281">
        <f t="shared" si="55"/>
        <v>8.153832725689055</v>
      </c>
      <c r="EB105" s="278"/>
      <c r="EC105" s="278" t="s">
        <v>669</v>
      </c>
      <c r="ED105" s="281">
        <f t="shared" si="56"/>
        <v>3081.0642390735597</v>
      </c>
      <c r="EE105" s="281">
        <f t="shared" si="49"/>
        <v>8.153832725689055</v>
      </c>
      <c r="EL105" s="306" t="s">
        <v>12</v>
      </c>
      <c r="EM105" s="306" t="s">
        <v>359</v>
      </c>
      <c r="EN105" s="306">
        <v>5055.2204000000002</v>
      </c>
      <c r="EO105" s="306">
        <v>7.5479196375319413E-2</v>
      </c>
      <c r="EP105" s="307">
        <v>849103</v>
      </c>
      <c r="EQ105" s="308">
        <f t="shared" si="57"/>
        <v>14.206588276632878</v>
      </c>
      <c r="ER105" s="308">
        <f t="shared" si="58"/>
        <v>3.7596796243765059E-2</v>
      </c>
      <c r="ET105" s="420" t="s">
        <v>12</v>
      </c>
      <c r="EU105" s="420" t="s">
        <v>359</v>
      </c>
      <c r="EV105" s="420">
        <v>5055.2204000000002</v>
      </c>
      <c r="EW105" s="420">
        <v>7.5479196375319413E-2</v>
      </c>
      <c r="EX105" s="421">
        <v>849103</v>
      </c>
      <c r="EY105" s="422">
        <f t="shared" si="59"/>
        <v>13.801700510748843</v>
      </c>
      <c r="EZ105" s="422">
        <f t="shared" si="60"/>
        <v>3.6525287550817756E-2</v>
      </c>
      <c r="FA105">
        <v>0</v>
      </c>
      <c r="FD105" s="306" t="s">
        <v>12</v>
      </c>
      <c r="FE105" s="306" t="s">
        <v>359</v>
      </c>
      <c r="FF105" s="306">
        <v>5055.2204000000002</v>
      </c>
      <c r="FG105" s="306">
        <v>7.5479196375319413E-2</v>
      </c>
      <c r="FH105" s="307">
        <v>849103</v>
      </c>
      <c r="FI105" s="308">
        <f t="shared" si="61"/>
        <v>13.801700510748843</v>
      </c>
      <c r="FJ105" s="308">
        <f t="shared" si="50"/>
        <v>3.6525287550817756E-2</v>
      </c>
      <c r="FL105" s="101"/>
      <c r="FM105" s="101"/>
      <c r="FN105" s="101"/>
      <c r="FO105" s="101"/>
      <c r="FP105" s="374"/>
      <c r="FQ105" s="404"/>
      <c r="FR105" s="404"/>
    </row>
    <row r="106" spans="1:174" ht="25">
      <c r="A106" s="205"/>
      <c r="B106" s="205" t="s">
        <v>671</v>
      </c>
      <c r="C106" s="400">
        <f>$AB64*KTDB_TripDistribution_2045!L$12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148.28163084962873</v>
      </c>
      <c r="D106" s="400">
        <f>$AB64*KTDB_TripDistribution_2045!M$12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1153.0577354508789</v>
      </c>
      <c r="E106" s="400">
        <f>$AB64*KTDB_TripDistribution_2045!N$12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51.109691268858448</v>
      </c>
      <c r="F106" s="400">
        <f>$AB64*KTDB_TripDistribution_2045!O$12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0.13860255259351476</v>
      </c>
      <c r="G106" s="400">
        <f>$AB64*KTDB_TripDistribution_2045!P$12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0.39270723234829047</v>
      </c>
      <c r="H106" s="400">
        <f>$AB64*KTDB_TripDistribution_2045!Q$12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1352.9803673543083</v>
      </c>
      <c r="J106" s="230">
        <f t="shared" si="46"/>
        <v>1352.9803673543081</v>
      </c>
      <c r="K106" s="206"/>
      <c r="L106" s="206" t="s">
        <v>671</v>
      </c>
      <c r="M106" s="206">
        <f>INDEX($A$102:$H$115,MATCH($L106,$B$102:$B$115,0),MATCH($M$101,$A$102:$H$102,0))*고양시_Modal_split!C$3 * 0.01</f>
        <v>0.41518856637896034</v>
      </c>
      <c r="N106" s="206">
        <f>INDEX($A$102:$H$115,MATCH($L106,$B$102:$B$115,0),MATCH($M$101,$A$102:$H$102,0))*고양시_Modal_split!D$3 * 0.01</f>
        <v>69.736850988580386</v>
      </c>
      <c r="O106" s="206">
        <f>INDEX($A$102:$H$115,MATCH($L106,$B$102:$B$115,0),MATCH($M$101,$A$102:$H$102,0))*고양시_Modal_split!E$3 * 0.01</f>
        <v>8.4372247953438748</v>
      </c>
      <c r="P106" s="206">
        <f>INDEX($A$102:$H$115,MATCH($L106,$B$102:$B$115,0),MATCH($M$101,$A$102:$H$102,0))*고양시_Modal_split!F$3 * 0.01</f>
        <v>13.597425548910953</v>
      </c>
      <c r="Q106" s="206">
        <f>INDEX($A$102:$H$115,MATCH($L106,$B$102:$B$115,0),MATCH($M$101,$A$102:$H$102,0))*고양시_Modal_split!G$3 * 0.01</f>
        <v>1.3641910038165841</v>
      </c>
      <c r="R106" s="206">
        <f>INDEX($A$102:$H$115,MATCH($L106,$B$102:$B$115,0),MATCH($M$101,$A$102:$H$102,0))*고양시_Modal_split!H$3 * 0.01</f>
        <v>1.4828163084962874E-2</v>
      </c>
      <c r="S106" s="206">
        <f>INDEX($A$102:$H$115,MATCH($L106,$B$102:$B$115,0),MATCH($M$101,$A$102:$H$102,0))*고양시_Modal_split!I$3 * 0.01</f>
        <v>4.1222293376196788</v>
      </c>
      <c r="T106" s="206">
        <f>INDEX($A$102:$H$115,MATCH($L106,$B$102:$B$115,0),MATCH($M$101,$A$102:$H$102,0))*고양시_Modal_split!J$3 * 0.01</f>
        <v>45.136928430626988</v>
      </c>
      <c r="U106" s="206">
        <f>INDEX($A$102:$H$115,MATCH($L106,$B$102:$B$115,0),MATCH($M$101,$A$102:$H$102,0))*고양시_Modal_split!K$3 * 0.01</f>
        <v>0.22242244627444308</v>
      </c>
      <c r="V106" s="206">
        <f>INDEX($A$102:$H$115,MATCH($L106,$B$102:$B$115,0),MATCH($M$101,$A$102:$H$102,0))*고양시_Modal_split!L$3 * 0.01</f>
        <v>4.4781052516587874</v>
      </c>
      <c r="W106" s="206">
        <f>INDEX($A$102:$H$115,MATCH($L106,$B$102:$B$115,0),MATCH($M$101,$A$102:$H$102,0))*고양시_Modal_split!M$3 * 0.01</f>
        <v>0.34104775095414602</v>
      </c>
      <c r="X106" s="206">
        <f>INDEX($A$102:$H$115,MATCH($L106,$B$102:$B$115,0),MATCH($M$101,$A$102:$H$102,0))*고양시_Modal_split!N$3 * 0.01</f>
        <v>0.14828163084962875</v>
      </c>
      <c r="Y106" s="206">
        <f>INDEX($A$102:$H$115,MATCH($L106,$B$102:$B$115,0),MATCH($M$101,$A$102:$H$102,0))*고양시_Modal_split!O$3 * 0.01</f>
        <v>0.2669069355293317</v>
      </c>
      <c r="Z106" s="209">
        <f>INDEX($A$102:$H$115,MATCH($L106,$B$102:$B$115,0),MATCH($M$101,$A$102:$H$102,0))*고양시_Modal_split!P$3 * 0.01</f>
        <v>148.28163084962873</v>
      </c>
      <c r="AA106" s="207">
        <f>INDEX($A$102:$H$115,MATCH($L106,$B$102:$B$115,0),MATCH($AA$101,$A$102:$H$102,0))*고양시_Modal_split!C$3 * 0.01</f>
        <v>3.2285616592624606</v>
      </c>
      <c r="AB106" s="207">
        <f>INDEX($A$102:$H$115,MATCH($L106,$B$102:$B$115,0),MATCH($AA$101,$A$102:$H$102,0))*고양시_Modal_split!D$3 * 0.01</f>
        <v>542.28305298254838</v>
      </c>
      <c r="AC106" s="207">
        <f>INDEX($A$102:$H$115,MATCH($L106,$B$102:$B$115,0),MATCH($AA$101,$A$102:$H$102,0))*고양시_Modal_split!E$3 * 0.01</f>
        <v>65.608985147155011</v>
      </c>
      <c r="AD106" s="207">
        <f>INDEX($A$102:$H$115,MATCH($L106,$B$102:$B$115,0),MATCH($AA$101,$A$102:$H$102,0))*고양시_Modal_split!F$3 * 0.01</f>
        <v>105.7353943408456</v>
      </c>
      <c r="AE106" s="207">
        <f>INDEX($A$102:$H$115,MATCH($L106,$B$102:$B$115,0),MATCH($AA$101,$A$102:$H$102,0))*고양시_Modal_split!G$3 * 0.01</f>
        <v>10.608131166148084</v>
      </c>
      <c r="AF106" s="207">
        <f>INDEX($A$102:$H$115,MATCH($L106,$B$102:$B$115,0),MATCH($AA$101,$A$102:$H$102,0))*고양시_Modal_split!H$3 * 0.01</f>
        <v>0.11530577354508789</v>
      </c>
      <c r="AG106" s="207">
        <f>INDEX($A$102:$H$115,MATCH($L106,$B$102:$B$115,0),MATCH($AA$101,$A$102:$H$102,0))*고양시_Modal_split!I$3 * 0.01</f>
        <v>32.055005045534429</v>
      </c>
      <c r="AH106" s="207">
        <f>INDEX($A$102:$H$115,MATCH($L106,$B$102:$B$115,0),MATCH($AA$101,$A$102:$H$102,0))*고양시_Modal_split!J$3 * 0.01</f>
        <v>350.99077467124755</v>
      </c>
      <c r="AI106" s="207">
        <f>INDEX($A$102:$H$115,MATCH($L106,$B$102:$B$115,0),MATCH($AA$101,$A$102:$H$102,0))*고양시_Modal_split!K$3 * 0.01</f>
        <v>1.7295866031763183</v>
      </c>
      <c r="AJ106" s="207">
        <f>INDEX($A$102:$H$115,MATCH($L106,$B$102:$B$115,0),MATCH($AA$101,$A$102:$H$102,0))*고양시_Modal_split!L$3 * 0.01</f>
        <v>34.822343610616542</v>
      </c>
      <c r="AK106" s="207">
        <f>INDEX($A$102:$H$115,MATCH($L106,$B$102:$B$115,0),MATCH($AA$101,$A$102:$H$102,0))*고양시_Modal_split!M$3 * 0.01</f>
        <v>2.652032791537021</v>
      </c>
      <c r="AL106" s="207">
        <f>INDEX($A$102:$H$115,MATCH($L106,$B$102:$B$115,0),MATCH($AA$101,$A$102:$H$102,0))*고양시_Modal_split!N$3 * 0.01</f>
        <v>1.1530577354508791</v>
      </c>
      <c r="AM106" s="207">
        <f>INDEX($A$102:$H$115,MATCH($L106,$B$102:$B$115,0),MATCH($AA$101,$A$102:$H$102,0))*고양시_Modal_split!O$3 * 0.01</f>
        <v>2.0755039238115818</v>
      </c>
      <c r="AN106" s="207">
        <f>INDEX($A$102:$H$115,MATCH($L106,$B$102:$B$115,0),MATCH($AA$101,$A$102:$H$102,0))*고양시_Modal_split!P$3 * 0.01</f>
        <v>1153.0577354508789</v>
      </c>
      <c r="AO106" s="303">
        <f>INDEX($A$102:$H$115,MATCH($L106,$B$102:$B$115,0),MATCH($AO$101,$A$102:$H$102,0))*고양시_Modal_split!C$3 * 0.01</f>
        <v>0.14310713555280363</v>
      </c>
      <c r="AP106" s="303">
        <f>INDEX($A$102:$H$115,MATCH($L106,$B$102:$B$115,0),MATCH($AO$101,$A$102:$H$102,0))*고양시_Modal_split!D$3 * 0.01</f>
        <v>24.036887803744129</v>
      </c>
      <c r="AQ106" s="303">
        <f>INDEX($A$102:$H$115,MATCH($L106,$B$102:$B$115,0),MATCH($AO$101,$A$102:$H$102,0))*고양시_Modal_split!E$3 * 0.01</f>
        <v>2.9081414331980455</v>
      </c>
      <c r="AR106" s="303">
        <f>INDEX($A$102:$H$115,MATCH($L106,$B$102:$B$115,0),MATCH($AO$101,$A$102:$H$102,0))*고양시_Modal_split!F$3 * 0.01</f>
        <v>4.6867586893543196</v>
      </c>
      <c r="AS106" s="303">
        <f>INDEX($A$102:$H$115,MATCH($L106,$B$102:$B$115,0),MATCH($AO$101,$A$102:$H$102,0))*고양시_Modal_split!G$3 * 0.01</f>
        <v>0.47020915967349763</v>
      </c>
      <c r="AT106" s="303">
        <f>INDEX($A$102:$H$115,MATCH($L106,$B$102:$B$115,0),MATCH($AO$101,$A$102:$H$102,0))*고양시_Modal_split!H$3 * 0.01</f>
        <v>5.1109691268858446E-3</v>
      </c>
      <c r="AU106" s="303">
        <f>INDEX($A$102:$H$115,MATCH($L106,$B$102:$B$115,0),MATCH($AO$101,$A$102:$H$102,0))*고양시_Modal_split!I$3 * 0.01</f>
        <v>1.4208494172742647</v>
      </c>
      <c r="AV106" s="303">
        <f>INDEX($A$102:$H$115,MATCH($L106,$B$102:$B$115,0),MATCH($AO$101,$A$102:$H$102,0))*고양시_Modal_split!J$3 * 0.01</f>
        <v>15.557790022240512</v>
      </c>
      <c r="AW106" s="303">
        <f>INDEX($A$102:$H$115,MATCH($L106,$B$102:$B$115,0),MATCH($AO$101,$A$102:$H$102,0))*고양시_Modal_split!K$3 * 0.01</f>
        <v>7.6664536903287672E-2</v>
      </c>
      <c r="AX106" s="303">
        <f>INDEX($A$102:$H$115,MATCH($L106,$B$102:$B$115,0),MATCH($AO$101,$A$102:$H$102,0))*고양시_Modal_split!L$3 * 0.01</f>
        <v>1.543512676319525</v>
      </c>
      <c r="AY106" s="303">
        <f>INDEX($A$102:$H$115,MATCH($L106,$B$102:$B$115,0),MATCH($AO$101,$A$102:$H$102,0))*고양시_Modal_split!M$3 * 0.01</f>
        <v>0.11755228991837441</v>
      </c>
      <c r="AZ106" s="303">
        <f>INDEX($A$102:$H$115,MATCH($L106,$B$102:$B$115,0),MATCH($AO$101,$A$102:$H$102,0))*고양시_Modal_split!N$3 * 0.01</f>
        <v>5.1109691268858448E-2</v>
      </c>
      <c r="BA106" s="207">
        <f>INDEX($A$102:$H$115,MATCH($L106,$B$102:$B$115,0),MATCH($AO$101,$A$102:$H$102,0))*고양시_Modal_split!O$3 * 0.01</f>
        <v>9.1997444283945212E-2</v>
      </c>
      <c r="BB106" s="207">
        <f>INDEX($A$102:$H$115,MATCH($L106,$B$102:$B$115,0),MATCH($AO$101,$A$102:$H$102,0))*고양시_Modal_split!P$3 * 0.01</f>
        <v>51.109691268858455</v>
      </c>
      <c r="BC106" s="207">
        <f>INDEX($A$102:$H$115,MATCH($L106,$B$102:$B$115,0),MATCH($BC$101,$A$102:$H$102,0))*고양시_Modal_split!C$3 * 0.01</f>
        <v>3.880871472618413E-4</v>
      </c>
      <c r="BD106" s="207">
        <f>INDEX($A$102:$H$115,MATCH($L106,$B$102:$B$115,0),MATCH($BC$101,$A$102:$H$102,0))*고양시_Modal_split!D$3 * 0.01</f>
        <v>6.518478048472999E-2</v>
      </c>
      <c r="BE106" s="207">
        <f>INDEX($A$102:$H$115,MATCH($L106,$B$102:$B$115,0),MATCH($BC$101,$A$102:$H$102,0))*고양시_Modal_split!E$3 * 0.01</f>
        <v>7.886485242570988E-3</v>
      </c>
      <c r="BF106" s="207">
        <f>INDEX($A$102:$H$115,MATCH($L106,$B$102:$B$115,0),MATCH($BC$101,$A$102:$H$102,0))*고양시_Modal_split!F$3 * 0.01</f>
        <v>1.2709854072825304E-2</v>
      </c>
      <c r="BG106" s="207">
        <f>INDEX($A$102:$H$115,MATCH($L106,$B$102:$B$115,0),MATCH($BC$101,$A$102:$H$102,0))*고양시_Modal_split!G$3 * 0.01</f>
        <v>1.2751434838603358E-3</v>
      </c>
      <c r="BH106" s="207">
        <f>INDEX($A$102:$H$115,MATCH($L106,$B$102:$B$115,0),MATCH($BC$101,$A$102:$H$102,0))*고양시_Modal_split!H$3 * 0.01</f>
        <v>1.3860255259351477E-5</v>
      </c>
      <c r="BI106" s="207">
        <f>INDEX($A$102:$H$115,MATCH($L106,$B$102:$B$115,0),MATCH($BC$101,$A$102:$H$102,0))*고양시_Modal_split!I$3 * 0.01</f>
        <v>3.8531509620997103E-3</v>
      </c>
      <c r="BJ106" s="207">
        <f>INDEX($A$102:$H$115,MATCH($L106,$B$102:$B$115,0),MATCH($BC$101,$A$102:$H$102,0))*고양시_Modal_split!J$3 * 0.01</f>
        <v>4.21906170094659E-2</v>
      </c>
      <c r="BK106" s="207">
        <f>INDEX($A$102:$H$115,MATCH($L106,$B$102:$B$115,0),MATCH($BC$101,$A$102:$H$102,0))*고양시_Modal_split!K$3 * 0.01</f>
        <v>2.0790382889027213E-4</v>
      </c>
      <c r="BL106" s="207">
        <f>INDEX($A$102:$H$115,MATCH($L106,$B$102:$B$115,0),MATCH($BC$101,$A$102:$H$102,0))*고양시_Modal_split!L$3 * 0.01</f>
        <v>4.1857970883241455E-3</v>
      </c>
      <c r="BM106" s="207">
        <f>INDEX($A$102:$H$115,MATCH($L106,$B$102:$B$115,0),MATCH($BC$101,$A$102:$H$102,0))*고양시_Modal_split!M$3 * 0.01</f>
        <v>3.1878587096508394E-4</v>
      </c>
      <c r="BN106" s="207">
        <f>INDEX($A$102:$H$115,MATCH($L106,$B$102:$B$115,0),MATCH($BC$101,$A$102:$H$102,0))*고양시_Modal_split!N$3 * 0.01</f>
        <v>1.3860255259351477E-4</v>
      </c>
      <c r="BO106" s="207">
        <f>INDEX($A$102:$H$115,MATCH($L106,$B$102:$B$115,0),MATCH($BC$101,$A$102:$H$102,0))*고양시_Modal_split!O$3 * 0.01</f>
        <v>2.4948459466832653E-4</v>
      </c>
      <c r="BP106" s="207">
        <f>INDEX($A$102:$H$115,MATCH($L106,$B$102:$B$115,0),MATCH($BC$101,$A$102:$H$102,0))*고양시_Modal_split!P$3 * 0.01</f>
        <v>0.13860255259351476</v>
      </c>
      <c r="BQ106" s="207">
        <f>INDEX($A$102:$H$115,MATCH($L106,$B$102:$B$115,0),MATCH($BQ$101,$A$102:$H$102,0))*고양시_Modal_split!C$3 * 0.01</f>
        <v>1.0995802505752133E-3</v>
      </c>
      <c r="BR106" s="207">
        <f>INDEX($A$102:$H$115,MATCH($L106,$B$102:$B$115,0),MATCH($BQ$101,$A$102:$H$102,0))*고양시_Modal_split!D$3 * 0.01</f>
        <v>0.184690211373401</v>
      </c>
      <c r="BS106" s="207">
        <f>INDEX($A$102:$H$115,MATCH($L106,$B$102:$B$115,0),MATCH($BQ$101,$A$102:$H$102,0))*고양시_Modal_split!E$3 * 0.01</f>
        <v>2.2345041520617729E-2</v>
      </c>
      <c r="BT106" s="207">
        <f>INDEX($A$102:$H$115,MATCH($L106,$B$102:$B$115,0),MATCH($BQ$101,$A$102:$H$102,0))*고양시_Modal_split!F$3 * 0.01</f>
        <v>3.6011253206338238E-2</v>
      </c>
      <c r="BU106" s="207">
        <f>INDEX($A$102:$H$115,MATCH($L106,$B$102:$B$115,0),MATCH($BQ$101,$A$102:$H$102,0))*고양시_Modal_split!G$3 * 0.01</f>
        <v>3.6129065376042718E-3</v>
      </c>
      <c r="BV106" s="207">
        <f>INDEX($A$102:$H$115,MATCH($L106,$B$102:$B$115,0),MATCH($BQ$101,$A$102:$H$102,0))*고양시_Modal_split!H$3 * 0.01</f>
        <v>3.9270723234829049E-5</v>
      </c>
      <c r="BW106" s="207">
        <f>INDEX($A$102:$H$115,MATCH($L106,$B$102:$B$115,0),MATCH($BQ$101,$A$102:$H$102,0))*고양시_Modal_split!I$3 * 0.01</f>
        <v>1.0917261059282476E-2</v>
      </c>
      <c r="BX106" s="207">
        <f>INDEX($A$102:$H$115,MATCH($L106,$B$102:$B$115,0),MATCH($BQ$101,$A$102:$H$102,0))*고양시_Modal_split!J$3 * 0.01</f>
        <v>0.11954008152681964</v>
      </c>
      <c r="BY106" s="207">
        <f>INDEX($A$102:$H$115,MATCH($L106,$B$102:$B$115,0),MATCH($BQ$101,$A$102:$H$102,0))*고양시_Modal_split!K$3 * 0.01</f>
        <v>5.8906084852243567E-4</v>
      </c>
      <c r="BZ106" s="207">
        <f>INDEX($A$102:$H$115,MATCH($L106,$B$102:$B$115,0),MATCH($BQ$101,$A$102:$H$102,0))*고양시_Modal_split!L$3 * 0.01</f>
        <v>1.1859758416918371E-2</v>
      </c>
      <c r="CA106" s="207">
        <f>INDEX($A$102:$H$115,MATCH($L106,$B$102:$B$115,0),MATCH($BQ$101,$A$102:$H$102,0))*고양시_Modal_split!M$3 * 0.01</f>
        <v>9.0322663440106795E-4</v>
      </c>
      <c r="CB106" s="207">
        <f>INDEX($A$102:$H$115,MATCH($L106,$B$102:$B$115,0),MATCH($BQ$101,$A$102:$H$102,0))*고양시_Modal_split!N$3 * 0.01</f>
        <v>3.9270723234829052E-4</v>
      </c>
      <c r="CC106" s="207">
        <f>INDEX($A$102:$H$115,MATCH($L106,$B$102:$B$115,0),MATCH($BQ$101,$A$102:$H$102,0))*고양시_Modal_split!O$3 * 0.01</f>
        <v>7.068730182269228E-4</v>
      </c>
      <c r="CD106" s="207">
        <f>INDEX($A$102:$H$115,MATCH($L106,$B$102:$B$115,0),MATCH($BQ$101,$A$102:$H$102,0))*고양시_Modal_split!P$3 * 0.01</f>
        <v>0.39270723234829052</v>
      </c>
      <c r="CE106" s="304">
        <f t="shared" si="51"/>
        <v>3.7883450285920617</v>
      </c>
      <c r="CF106" s="304">
        <f t="shared" si="47"/>
        <v>636.30666676673104</v>
      </c>
      <c r="CG106" s="304">
        <f t="shared" si="47"/>
        <v>76.984582902460119</v>
      </c>
      <c r="CH106" s="304">
        <f t="shared" si="47"/>
        <v>124.06829968639003</v>
      </c>
      <c r="CI106" s="304">
        <f t="shared" si="47"/>
        <v>12.447419379659632</v>
      </c>
      <c r="CJ106" s="304">
        <f t="shared" si="47"/>
        <v>0.13529803673543081</v>
      </c>
      <c r="CK106" s="304">
        <f t="shared" si="47"/>
        <v>37.612854212449754</v>
      </c>
      <c r="CL106" s="304">
        <f t="shared" si="47"/>
        <v>411.8472238226513</v>
      </c>
      <c r="CM106" s="304">
        <f t="shared" si="47"/>
        <v>2.0294705510314621</v>
      </c>
      <c r="CN106" s="304">
        <f t="shared" si="47"/>
        <v>40.860007094100098</v>
      </c>
      <c r="CO106" s="304">
        <f t="shared" si="47"/>
        <v>3.1118548449149079</v>
      </c>
      <c r="CP106" s="304">
        <f t="shared" si="47"/>
        <v>1.3529803673543079</v>
      </c>
      <c r="CQ106" s="304">
        <f t="shared" si="47"/>
        <v>2.4353646612377542</v>
      </c>
      <c r="CR106" s="304">
        <f t="shared" si="47"/>
        <v>1352.9803673543081</v>
      </c>
      <c r="CS106" s="305">
        <f t="shared" si="52"/>
        <v>0</v>
      </c>
      <c r="CV106" s="265"/>
      <c r="CW106" s="265" t="s">
        <v>671</v>
      </c>
      <c r="CX106" s="267">
        <f>INDEX($M$101:$Z$115,MATCH($CW106,$L$101:$L$115,0),MATCH(CX$102,$M$102:$Z$102,0))/INDEX(고양시_재차인원!$D$4:$H$35,MATCH("고양시",고양시_재차인원!$B$4:$B$35,0),MATCH($CX$101,고양시_재차인원!$D$4:$H$4,0))</f>
        <v>62.265045525518197</v>
      </c>
      <c r="CY106" s="267">
        <f>INDEX($M$101:$Z$115,MATCH($CW106,$L$101:$L$115,0),MATCH(CY$102,$M$102:$Z$102,0))/INDEX(고양시_재차인원!$K$4:$O$20,MATCH("경기도",고양시_재차인원!$K$4:$K$20,0),MATCH(CY$102,고양시_재차인원!$K$4:$O$4,0))</f>
        <v>5.150456090643583E-4</v>
      </c>
      <c r="CZ106" s="267">
        <f>INDEX($M$101:$Z$115,MATCH($CW106,$L$101:$L$115,0),MATCH(CZ$102,$M$102:$Z$102,0))/INDEX(고양시_재차인원!$K$4:$O$20,MATCH("경기도",고양시_재차인원!$K$4:$K$20,0),MATCH(CZ$102,고양시_재차인원!$K$4:$O$4,0))</f>
        <v>0.14318267931989159</v>
      </c>
      <c r="DA106" s="267">
        <f>INDEX($M$101:$Z$115,MATCH($CW106,$L$101:$L$115,0),MATCH(DA$102,$M$102:$Z$102,0))/INDEX(고양시_재차인원!$D$4:$H$35,MATCH("고양시",고양시_재차인원!$B$4:$B$35,0),MATCH($CX$101,고양시_재차인원!$D$4:$H$4,0))</f>
        <v>3.9983082604096314</v>
      </c>
      <c r="DB106" s="267">
        <f>INDEX($AA$101:$AN$115,MATCH($CW106,$L$101:$L$115,0),MATCH(DB$102,$AA$102:$AN$102,0))/INDEX(고양시_재차인원!$D$4:$H$35,MATCH("고양시",고양시_재차인원!$B$4:$B$35,0),MATCH($DB$101,고양시_재차인원!$D$4:$H$4,0))</f>
        <v>384.59790991670098</v>
      </c>
      <c r="DC106" s="267">
        <f>INDEX($AA$101:$AN$115,MATCH($CW106,$L$101:$L$115,0),MATCH(DC$102,$AA$102:$AN$102,0))/INDEX(고양시_재차인원!$K$4:$O$20,MATCH("경기도",고양시_재차인원!$K$4:$K$20,0),MATCH(DC$102,고양시_재차인원!$K$4:$O$4,0))</f>
        <v>4.0050633395306671E-3</v>
      </c>
      <c r="DD106" s="267">
        <f>INDEX($AA$101:$AN$115,MATCH($CW106,$L$101:$L$115,0),MATCH(DD$102,$AA$102:$AN$102,0))/INDEX(고양시_재차인원!$K$4:$O$20,MATCH("경기도",고양시_재차인원!$K$4:$K$20,0),MATCH(DD$102,고양시_재차인원!$K$4:$O$4,0))</f>
        <v>1.1134076083895252</v>
      </c>
      <c r="DE106" s="267">
        <f>INDEX($AA$101:$AN$115,MATCH($CW106,$L$101:$L$115,0),MATCH(DE$102,$AA$102:$AN$102,0))/INDEX(고양시_재차인원!$D$4:$H$35,MATCH("고양시",고양시_재차인원!$B$4:$B$35,0),MATCH($DB$101,고양시_재차인원!$D$4:$H$4,0))</f>
        <v>24.696697596181945</v>
      </c>
      <c r="DF106" s="267">
        <f>INDEX($AO$101:$BB$115,MATCH($CW106,$L$101:$L$115,0),MATCH(DF$102,$AO$102:$BB$102,0))/INDEX(고양시_재차인원!$D$4:$H$35,MATCH("고양시",고양시_재차인원!$B$4:$B$35,0),MATCH($DF$101,고양시_재차인원!$D$4:$H$4,0))</f>
        <v>18.489913695187791</v>
      </c>
      <c r="DG106" s="267">
        <f>INDEX($AO$101:$BB$115,MATCH($CW106,$L$101:$L$115,0),MATCH(DG$102,$AO$102:$BB$102,0))/INDEX(고양시_재차인원!$K$4:$O$20,MATCH("경기도",고양시_재차인원!$K$4:$K$20,0),MATCH(DG$102,고양시_재차인원!$K$4:$O$4,0))</f>
        <v>1.7752584671364518E-4</v>
      </c>
      <c r="DH106" s="267">
        <f>INDEX($AO$101:$BB$115,MATCH($CW106,$L$101:$L$115,0),MATCH(DH$102,$AO$102:$BB$102,0))/INDEX(고양시_재차인원!$K$4:$O$20,MATCH("경기도",고양시_재차인원!$K$4:$K$20,0),MATCH(DH$102,고양시_재차인원!$K$4:$O$4,0))</f>
        <v>4.9352185386393355E-2</v>
      </c>
      <c r="DI106" s="267">
        <f>INDEX($AO$101:$BB$115,MATCH($CW106,$L$101:$L$115,0),MATCH(DI$102,$AO$102:$BB$102,0))/INDEX(고양시_재차인원!$D$4:$H$35,MATCH("고양시",고양시_재차인원!$B$4:$B$35,0),MATCH($DF$101,고양시_재차인원!$D$4:$H$4,0))</f>
        <v>1.1873174433227116</v>
      </c>
      <c r="DJ106" s="267">
        <f>INDEX($BC$101:$BP$115,MATCH($CW106,$L$101:$L$115,0),MATCH(DJ$102,$BC$102:$BP$102,0))/INDEX(고양시_재차인원!$D$4:$H$35,MATCH("고양시",고양시_재차인원!$B$4:$B$35,0),MATCH($DJ$101,고양시_재차인원!$D$4:$H$4,0))</f>
        <v>4.7929985650536751E-2</v>
      </c>
      <c r="DK106" s="267">
        <f>INDEX($BC$101:$BP$115,MATCH($CW106,$L$101:$L$115,0),MATCH(DK$102,$BC$102:$BP$102,0))/INDEX(고양시_재차인원!$K$4:$O$20,MATCH("경기도",고양시_재차인원!$K$4:$K$20,0),MATCH(DK$102,고양시_재차인원!$K$4:$O$4,0))</f>
        <v>4.814260249861576E-7</v>
      </c>
      <c r="DL106" s="267">
        <f>INDEX($BC$101:$BP$115,MATCH($CW106,$L$101:$L$115,0),MATCH(DL$102,$BC$102:$BP$102,0))/INDEX(고양시_재차인원!$K$4:$O$20,MATCH("경기도",고양시_재차인원!$K$4:$K$20,0),MATCH(DL$102,고양시_재차인원!$K$4:$O$4,0))</f>
        <v>1.3383643494615179E-4</v>
      </c>
      <c r="DM106" s="267">
        <f>INDEX($BC$101:$BP$115,MATCH($CW106,$L$101:$L$115,0),MATCH(DM$102,$BC$102:$BP$102,0))/INDEX(고양시_재차인원!$D$4:$H$35,MATCH("고양시",고양시_재차인원!$B$4:$B$35,0),MATCH($DJ$101,고양시_재차인원!$D$4:$H$4,0))</f>
        <v>3.0777919767089302E-3</v>
      </c>
      <c r="DN106" s="267">
        <f>INDEX($BQ$101:$CD$115,MATCH($CW106,$L$101:$L$115,0),MATCH(DN$102,$BQ$102:$CD$102,0))/INDEX(고양시_재차인원!$D$4:$H$35,MATCH("고양시",고양시_재차인원!$B$4:$B$35,0),MATCH($DN$101,고양시_재차인원!$D$4:$H$4,0))</f>
        <v>0.14657953283603253</v>
      </c>
      <c r="DO106" s="267">
        <f>INDEX($BQ$101:$CD$115,MATCH($CW106,$L$101:$L$115,0),MATCH(DO$102,$BQ$102:$CD$102,0))/INDEX(고양시_재차인원!$K$4:$O$20,MATCH("경기도",고양시_재차인원!$K$4:$K$20,0),MATCH(DO$102,고양시_재차인원!$K$4:$O$4,0))</f>
        <v>1.3640404041274418E-6</v>
      </c>
      <c r="DP106" s="267">
        <f>INDEX($BQ$101:$CD$115,MATCH($CW106,$L$101:$L$115,0),MATCH(DP$102,$BQ$102:$CD$102,0))/INDEX(고양시_재차인원!$K$4:$O$20,MATCH("경기도",고양시_재차인원!$K$4:$K$20,0),MATCH(DP$102,고양시_재차인원!$K$4:$O$4,0))</f>
        <v>3.7920323234742883E-4</v>
      </c>
      <c r="DQ106" s="267">
        <f>INDEX($BQ$101:$CD$115,MATCH($CW106,$L$101:$L$115,0),MATCH(DQ$102,$BQ$102:$CD$102,0))/INDEX(고양시_재차인원!$D$4:$H$35,MATCH("고양시",고양시_재차인원!$B$4:$B$35,0),MATCH($DN$101,고양시_재차인원!$D$4:$H$4,0))</f>
        <v>9.4125066800939457E-3</v>
      </c>
      <c r="DR106" s="270">
        <f t="shared" si="53"/>
        <v>465.54737865589351</v>
      </c>
      <c r="DS106" s="270">
        <f t="shared" si="48"/>
        <v>4.699480261737784E-3</v>
      </c>
      <c r="DT106" s="270">
        <f t="shared" si="48"/>
        <v>1.3064555127631039</v>
      </c>
      <c r="DU106" s="270">
        <f t="shared" si="48"/>
        <v>29.894813598571091</v>
      </c>
      <c r="DW106" s="278"/>
      <c r="DX106" s="278" t="s">
        <v>671</v>
      </c>
      <c r="DY106" s="281">
        <f t="shared" si="54"/>
        <v>495.4421922544646</v>
      </c>
      <c r="DZ106" s="281">
        <f t="shared" si="55"/>
        <v>1.3111549930248416</v>
      </c>
      <c r="EB106" s="278"/>
      <c r="EC106" s="278" t="s">
        <v>671</v>
      </c>
      <c r="ED106" s="281">
        <f t="shared" si="56"/>
        <v>495.4421922544646</v>
      </c>
      <c r="EE106" s="281">
        <f t="shared" si="49"/>
        <v>1.3111549930248416</v>
      </c>
      <c r="EL106" s="306" t="s">
        <v>12</v>
      </c>
      <c r="EM106" s="306" t="s">
        <v>360</v>
      </c>
      <c r="EN106" s="306">
        <v>6559.1377000000002</v>
      </c>
      <c r="EO106" s="306">
        <v>9.7934096505675777E-2</v>
      </c>
      <c r="EP106" s="307">
        <v>849104</v>
      </c>
      <c r="EQ106" s="308">
        <f t="shared" si="57"/>
        <v>18.433018025018402</v>
      </c>
      <c r="ER106" s="308">
        <f t="shared" si="58"/>
        <v>4.8781763034841726E-2</v>
      </c>
      <c r="ET106" s="420" t="s">
        <v>12</v>
      </c>
      <c r="EU106" s="420" t="s">
        <v>360</v>
      </c>
      <c r="EV106" s="420">
        <v>6559.1377000000002</v>
      </c>
      <c r="EW106" s="420">
        <v>9.7934096505675777E-2</v>
      </c>
      <c r="EX106" s="421">
        <v>849104</v>
      </c>
      <c r="EY106" s="422">
        <f t="shared" si="59"/>
        <v>17.907677011305378</v>
      </c>
      <c r="EZ106" s="422">
        <f t="shared" si="60"/>
        <v>4.7391482788348739E-2</v>
      </c>
      <c r="FA106">
        <v>0</v>
      </c>
      <c r="FD106" s="306" t="s">
        <v>12</v>
      </c>
      <c r="FE106" s="306" t="s">
        <v>360</v>
      </c>
      <c r="FF106" s="306">
        <v>6559.1377000000002</v>
      </c>
      <c r="FG106" s="306">
        <v>9.7934096505675777E-2</v>
      </c>
      <c r="FH106" s="307">
        <v>849104</v>
      </c>
      <c r="FI106" s="308">
        <f t="shared" si="61"/>
        <v>17.907677011305378</v>
      </c>
      <c r="FJ106" s="308">
        <f t="shared" si="50"/>
        <v>4.7391482788348739E-2</v>
      </c>
      <c r="FL106" s="101"/>
      <c r="FM106" s="101"/>
      <c r="FN106" s="101"/>
      <c r="FO106" s="101"/>
      <c r="FP106" s="374"/>
      <c r="FQ106" s="404"/>
      <c r="FR106" s="404"/>
    </row>
    <row r="107" spans="1:174" ht="25">
      <c r="A107" s="205"/>
      <c r="B107" s="205" t="s">
        <v>673</v>
      </c>
      <c r="C107" s="400">
        <f>$AB65*KTDB_TripDistribution_2045!L$12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259.51927623040865</v>
      </c>
      <c r="D107" s="400">
        <f>$AB65*KTDB_TripDistribution_2045!M$12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2018.0564999284627</v>
      </c>
      <c r="E107" s="400">
        <f>$AB65*KTDB_TripDistribution_2045!N$12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89.451066935625022</v>
      </c>
      <c r="F107" s="400">
        <f>$AB65*KTDB_TripDistribution_2045!O$12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0.24257916457118703</v>
      </c>
      <c r="G107" s="400">
        <f>$AB65*KTDB_TripDistribution_2045!P$12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0.68730763295169428</v>
      </c>
      <c r="H107" s="400">
        <f>$AB65*KTDB_TripDistribution_2045!Q$12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2367.9567298920201</v>
      </c>
      <c r="J107" s="230">
        <f t="shared" si="46"/>
        <v>2367.9567298920188</v>
      </c>
      <c r="K107" s="206"/>
      <c r="L107" s="206" t="s">
        <v>673</v>
      </c>
      <c r="M107" s="206">
        <f>INDEX($A$102:$H$115,MATCH($L107,$B$102:$B$115,0),MATCH($M$101,$A$102:$H$102,0))*고양시_Modal_split!C$3 * 0.01</f>
        <v>0.72665397344514415</v>
      </c>
      <c r="N107" s="206">
        <f>INDEX($A$102:$H$115,MATCH($L107,$B$102:$B$115,0),MATCH($M$101,$A$102:$H$102,0))*고양시_Modal_split!D$3 * 0.01</f>
        <v>122.05191561116119</v>
      </c>
      <c r="O107" s="206">
        <f>INDEX($A$102:$H$115,MATCH($L107,$B$102:$B$115,0),MATCH($M$101,$A$102:$H$102,0))*고양시_Modal_split!E$3 * 0.01</f>
        <v>14.766646817510249</v>
      </c>
      <c r="P107" s="206">
        <f>INDEX($A$102:$H$115,MATCH($L107,$B$102:$B$115,0),MATCH($M$101,$A$102:$H$102,0))*고양시_Modal_split!F$3 * 0.01</f>
        <v>23.797917630328474</v>
      </c>
      <c r="Q107" s="206">
        <f>INDEX($A$102:$H$115,MATCH($L107,$B$102:$B$115,0),MATCH($M$101,$A$102:$H$102,0))*고양시_Modal_split!G$3 * 0.01</f>
        <v>2.3875773413197594</v>
      </c>
      <c r="R107" s="206">
        <f>INDEX($A$102:$H$115,MATCH($L107,$B$102:$B$115,0),MATCH($M$101,$A$102:$H$102,0))*고양시_Modal_split!H$3 * 0.01</f>
        <v>2.5951927623040865E-2</v>
      </c>
      <c r="S107" s="206">
        <f>INDEX($A$102:$H$115,MATCH($L107,$B$102:$B$115,0),MATCH($M$101,$A$102:$H$102,0))*고양시_Modal_split!I$3 * 0.01</f>
        <v>7.2146358792053604</v>
      </c>
      <c r="T107" s="206">
        <f>INDEX($A$102:$H$115,MATCH($L107,$B$102:$B$115,0),MATCH($M$101,$A$102:$H$102,0))*고양시_Modal_split!J$3 * 0.01</f>
        <v>78.997667684536395</v>
      </c>
      <c r="U107" s="206">
        <f>INDEX($A$102:$H$115,MATCH($L107,$B$102:$B$115,0),MATCH($M$101,$A$102:$H$102,0))*고양시_Modal_split!K$3 * 0.01</f>
        <v>0.38927891434561296</v>
      </c>
      <c r="V107" s="206">
        <f>INDEX($A$102:$H$115,MATCH($L107,$B$102:$B$115,0),MATCH($M$101,$A$102:$H$102,0))*고양시_Modal_split!L$3 * 0.01</f>
        <v>7.8374821421583407</v>
      </c>
      <c r="W107" s="206">
        <f>INDEX($A$102:$H$115,MATCH($L107,$B$102:$B$115,0),MATCH($M$101,$A$102:$H$102,0))*고양시_Modal_split!M$3 * 0.01</f>
        <v>0.59689433532993985</v>
      </c>
      <c r="X107" s="206">
        <f>INDEX($A$102:$H$115,MATCH($L107,$B$102:$B$115,0),MATCH($M$101,$A$102:$H$102,0))*고양시_Modal_split!N$3 * 0.01</f>
        <v>0.25951927623040866</v>
      </c>
      <c r="Y107" s="206">
        <f>INDEX($A$102:$H$115,MATCH($L107,$B$102:$B$115,0),MATCH($M$101,$A$102:$H$102,0))*고양시_Modal_split!O$3 * 0.01</f>
        <v>0.46713469721473561</v>
      </c>
      <c r="Z107" s="209">
        <f>INDEX($A$102:$H$115,MATCH($L107,$B$102:$B$115,0),MATCH($M$101,$A$102:$H$102,0))*고양시_Modal_split!P$3 * 0.01</f>
        <v>259.51927623040865</v>
      </c>
      <c r="AA107" s="207">
        <f>INDEX($A$102:$H$115,MATCH($L107,$B$102:$B$115,0),MATCH($AA$101,$A$102:$H$102,0))*고양시_Modal_split!C$3 * 0.01</f>
        <v>5.6505581997996943</v>
      </c>
      <c r="AB107" s="207">
        <f>INDEX($A$102:$H$115,MATCH($L107,$B$102:$B$115,0),MATCH($AA$101,$A$102:$H$102,0))*고양시_Modal_split!D$3 * 0.01</f>
        <v>949.09197191635599</v>
      </c>
      <c r="AC107" s="207">
        <f>INDEX($A$102:$H$115,MATCH($L107,$B$102:$B$115,0),MATCH($AA$101,$A$102:$H$102,0))*고양시_Modal_split!E$3 * 0.01</f>
        <v>114.82741484592952</v>
      </c>
      <c r="AD107" s="207">
        <f>INDEX($A$102:$H$115,MATCH($L107,$B$102:$B$115,0),MATCH($AA$101,$A$102:$H$102,0))*고양시_Modal_split!F$3 * 0.01</f>
        <v>185.05578104344005</v>
      </c>
      <c r="AE107" s="207">
        <f>INDEX($A$102:$H$115,MATCH($L107,$B$102:$B$115,0),MATCH($AA$101,$A$102:$H$102,0))*고양시_Modal_split!G$3 * 0.01</f>
        <v>18.566119799341855</v>
      </c>
      <c r="AF107" s="207">
        <f>INDEX($A$102:$H$115,MATCH($L107,$B$102:$B$115,0),MATCH($AA$101,$A$102:$H$102,0))*고양시_Modal_split!H$3 * 0.01</f>
        <v>0.20180564999284628</v>
      </c>
      <c r="AG107" s="207">
        <f>INDEX($A$102:$H$115,MATCH($L107,$B$102:$B$115,0),MATCH($AA$101,$A$102:$H$102,0))*고양시_Modal_split!I$3 * 0.01</f>
        <v>56.101970698011257</v>
      </c>
      <c r="AH107" s="207">
        <f>INDEX($A$102:$H$115,MATCH($L107,$B$102:$B$115,0),MATCH($AA$101,$A$102:$H$102,0))*고양시_Modal_split!J$3 * 0.01</f>
        <v>614.29639857822417</v>
      </c>
      <c r="AI107" s="207">
        <f>INDEX($A$102:$H$115,MATCH($L107,$B$102:$B$115,0),MATCH($AA$101,$A$102:$H$102,0))*고양시_Modal_split!K$3 * 0.01</f>
        <v>3.027084749892694</v>
      </c>
      <c r="AJ107" s="207">
        <f>INDEX($A$102:$H$115,MATCH($L107,$B$102:$B$115,0),MATCH($AA$101,$A$102:$H$102,0))*고양시_Modal_split!L$3 * 0.01</f>
        <v>60.945306297839572</v>
      </c>
      <c r="AK107" s="207">
        <f>INDEX($A$102:$H$115,MATCH($L107,$B$102:$B$115,0),MATCH($AA$101,$A$102:$H$102,0))*고양시_Modal_split!M$3 * 0.01</f>
        <v>4.6415299498354639</v>
      </c>
      <c r="AL107" s="207">
        <f>INDEX($A$102:$H$115,MATCH($L107,$B$102:$B$115,0),MATCH($AA$101,$A$102:$H$102,0))*고양시_Modal_split!N$3 * 0.01</f>
        <v>2.0180564999284627</v>
      </c>
      <c r="AM107" s="207">
        <f>INDEX($A$102:$H$115,MATCH($L107,$B$102:$B$115,0),MATCH($AA$101,$A$102:$H$102,0))*고양시_Modal_split!O$3 * 0.01</f>
        <v>3.6325016998712329</v>
      </c>
      <c r="AN107" s="207">
        <f>INDEX($A$102:$H$115,MATCH($L107,$B$102:$B$115,0),MATCH($AA$101,$A$102:$H$102,0))*고양시_Modal_split!P$3 * 0.01</f>
        <v>2018.0564999284627</v>
      </c>
      <c r="AO107" s="303">
        <f>INDEX($A$102:$H$115,MATCH($L107,$B$102:$B$115,0),MATCH($AO$101,$A$102:$H$102,0))*고양시_Modal_split!C$3 * 0.01</f>
        <v>0.25046298741975004</v>
      </c>
      <c r="AP107" s="303">
        <f>INDEX($A$102:$H$115,MATCH($L107,$B$102:$B$115,0),MATCH($AO$101,$A$102:$H$102,0))*고양시_Modal_split!D$3 * 0.01</f>
        <v>42.068836779824451</v>
      </c>
      <c r="AQ107" s="303">
        <f>INDEX($A$102:$H$115,MATCH($L107,$B$102:$B$115,0),MATCH($AO$101,$A$102:$H$102,0))*고양시_Modal_split!E$3 * 0.01</f>
        <v>5.0897657086370636</v>
      </c>
      <c r="AR107" s="303">
        <f>INDEX($A$102:$H$115,MATCH($L107,$B$102:$B$115,0),MATCH($AO$101,$A$102:$H$102,0))*고양시_Modal_split!F$3 * 0.01</f>
        <v>8.2026628379968152</v>
      </c>
      <c r="AS107" s="303">
        <f>INDEX($A$102:$H$115,MATCH($L107,$B$102:$B$115,0),MATCH($AO$101,$A$102:$H$102,0))*고양시_Modal_split!G$3 * 0.01</f>
        <v>0.82294981580775017</v>
      </c>
      <c r="AT107" s="303">
        <f>INDEX($A$102:$H$115,MATCH($L107,$B$102:$B$115,0),MATCH($AO$101,$A$102:$H$102,0))*고양시_Modal_split!H$3 * 0.01</f>
        <v>8.9451066935625021E-3</v>
      </c>
      <c r="AU107" s="303">
        <f>INDEX($A$102:$H$115,MATCH($L107,$B$102:$B$115,0),MATCH($AO$101,$A$102:$H$102,0))*고양시_Modal_split!I$3 * 0.01</f>
        <v>2.4867396608103753</v>
      </c>
      <c r="AV107" s="303">
        <f>INDEX($A$102:$H$115,MATCH($L107,$B$102:$B$115,0),MATCH($AO$101,$A$102:$H$102,0))*고양시_Modal_split!J$3 * 0.01</f>
        <v>27.22890477520426</v>
      </c>
      <c r="AW107" s="303">
        <f>INDEX($A$102:$H$115,MATCH($L107,$B$102:$B$115,0),MATCH($AO$101,$A$102:$H$102,0))*고양시_Modal_split!K$3 * 0.01</f>
        <v>0.13417660040343754</v>
      </c>
      <c r="AX107" s="303">
        <f>INDEX($A$102:$H$115,MATCH($L107,$B$102:$B$115,0),MATCH($AO$101,$A$102:$H$102,0))*고양시_Modal_split!L$3 * 0.01</f>
        <v>2.7014222214558758</v>
      </c>
      <c r="AY107" s="303">
        <f>INDEX($A$102:$H$115,MATCH($L107,$B$102:$B$115,0),MATCH($AO$101,$A$102:$H$102,0))*고양시_Modal_split!M$3 * 0.01</f>
        <v>0.20573745395193754</v>
      </c>
      <c r="AZ107" s="303">
        <f>INDEX($A$102:$H$115,MATCH($L107,$B$102:$B$115,0),MATCH($AO$101,$A$102:$H$102,0))*고양시_Modal_split!N$3 * 0.01</f>
        <v>8.9451066935625032E-2</v>
      </c>
      <c r="BA107" s="207">
        <f>INDEX($A$102:$H$115,MATCH($L107,$B$102:$B$115,0),MATCH($AO$101,$A$102:$H$102,0))*고양시_Modal_split!O$3 * 0.01</f>
        <v>0.16101192048412505</v>
      </c>
      <c r="BB107" s="207">
        <f>INDEX($A$102:$H$115,MATCH($L107,$B$102:$B$115,0),MATCH($AO$101,$A$102:$H$102,0))*고양시_Modal_split!P$3 * 0.01</f>
        <v>89.451066935625022</v>
      </c>
      <c r="BC107" s="207">
        <f>INDEX($A$102:$H$115,MATCH($L107,$B$102:$B$115,0),MATCH($BC$101,$A$102:$H$102,0))*고양시_Modal_split!C$3 * 0.01</f>
        <v>6.7922166079932361E-4</v>
      </c>
      <c r="BD107" s="207">
        <f>INDEX($A$102:$H$115,MATCH($L107,$B$102:$B$115,0),MATCH($BC$101,$A$102:$H$102,0))*고양시_Modal_split!D$3 * 0.01</f>
        <v>0.11408498109782926</v>
      </c>
      <c r="BE107" s="207">
        <f>INDEX($A$102:$H$115,MATCH($L107,$B$102:$B$115,0),MATCH($BC$101,$A$102:$H$102,0))*고양시_Modal_split!E$3 * 0.01</f>
        <v>1.3802754464100541E-2</v>
      </c>
      <c r="BF107" s="207">
        <f>INDEX($A$102:$H$115,MATCH($L107,$B$102:$B$115,0),MATCH($BC$101,$A$102:$H$102,0))*고양시_Modal_split!F$3 * 0.01</f>
        <v>2.224450939117785E-2</v>
      </c>
      <c r="BG107" s="207">
        <f>INDEX($A$102:$H$115,MATCH($L107,$B$102:$B$115,0),MATCH($BC$101,$A$102:$H$102,0))*고양시_Modal_split!G$3 * 0.01</f>
        <v>2.2317283140549206E-3</v>
      </c>
      <c r="BH107" s="207">
        <f>INDEX($A$102:$H$115,MATCH($L107,$B$102:$B$115,0),MATCH($BC$101,$A$102:$H$102,0))*고양시_Modal_split!H$3 * 0.01</f>
        <v>2.4257916457118705E-5</v>
      </c>
      <c r="BI107" s="207">
        <f>INDEX($A$102:$H$115,MATCH($L107,$B$102:$B$115,0),MATCH($BC$101,$A$102:$H$102,0))*고양시_Modal_split!I$3 * 0.01</f>
        <v>6.7437007750789993E-3</v>
      </c>
      <c r="BJ107" s="207">
        <f>INDEX($A$102:$H$115,MATCH($L107,$B$102:$B$115,0),MATCH($BC$101,$A$102:$H$102,0))*고양시_Modal_split!J$3 * 0.01</f>
        <v>7.3841097695469329E-2</v>
      </c>
      <c r="BK107" s="207">
        <f>INDEX($A$102:$H$115,MATCH($L107,$B$102:$B$115,0),MATCH($BC$101,$A$102:$H$102,0))*고양시_Modal_split!K$3 * 0.01</f>
        <v>3.6386874685678057E-4</v>
      </c>
      <c r="BL107" s="207">
        <f>INDEX($A$102:$H$115,MATCH($L107,$B$102:$B$115,0),MATCH($BC$101,$A$102:$H$102,0))*고양시_Modal_split!L$3 * 0.01</f>
        <v>7.3258907700498492E-3</v>
      </c>
      <c r="BM107" s="207">
        <f>INDEX($A$102:$H$115,MATCH($L107,$B$102:$B$115,0),MATCH($BC$101,$A$102:$H$102,0))*고양시_Modal_split!M$3 * 0.01</f>
        <v>5.5793207851373016E-4</v>
      </c>
      <c r="BN107" s="207">
        <f>INDEX($A$102:$H$115,MATCH($L107,$B$102:$B$115,0),MATCH($BC$101,$A$102:$H$102,0))*고양시_Modal_split!N$3 * 0.01</f>
        <v>2.4257916457118706E-4</v>
      </c>
      <c r="BO107" s="207">
        <f>INDEX($A$102:$H$115,MATCH($L107,$B$102:$B$115,0),MATCH($BC$101,$A$102:$H$102,0))*고양시_Modal_split!O$3 * 0.01</f>
        <v>4.3664249622813665E-4</v>
      </c>
      <c r="BP107" s="207">
        <f>INDEX($A$102:$H$115,MATCH($L107,$B$102:$B$115,0),MATCH($BC$101,$A$102:$H$102,0))*고양시_Modal_split!P$3 * 0.01</f>
        <v>0.24257916457118703</v>
      </c>
      <c r="BQ107" s="207">
        <f>INDEX($A$102:$H$115,MATCH($L107,$B$102:$B$115,0),MATCH($BQ$101,$A$102:$H$102,0))*고양시_Modal_split!C$3 * 0.01</f>
        <v>1.9244613722647439E-3</v>
      </c>
      <c r="BR107" s="207">
        <f>INDEX($A$102:$H$115,MATCH($L107,$B$102:$B$115,0),MATCH($BQ$101,$A$102:$H$102,0))*고양시_Modal_split!D$3 * 0.01</f>
        <v>0.32324077977718185</v>
      </c>
      <c r="BS107" s="207">
        <f>INDEX($A$102:$H$115,MATCH($L107,$B$102:$B$115,0),MATCH($BQ$101,$A$102:$H$102,0))*고양시_Modal_split!E$3 * 0.01</f>
        <v>3.9107804314951401E-2</v>
      </c>
      <c r="BT107" s="207">
        <f>INDEX($A$102:$H$115,MATCH($L107,$B$102:$B$115,0),MATCH($BQ$101,$A$102:$H$102,0))*고양시_Modal_split!F$3 * 0.01</f>
        <v>6.3026109941670364E-2</v>
      </c>
      <c r="BU107" s="207">
        <f>INDEX($A$102:$H$115,MATCH($L107,$B$102:$B$115,0),MATCH($BQ$101,$A$102:$H$102,0))*고양시_Modal_split!G$3 * 0.01</f>
        <v>6.3232302231555869E-3</v>
      </c>
      <c r="BV107" s="207">
        <f>INDEX($A$102:$H$115,MATCH($L107,$B$102:$B$115,0),MATCH($BQ$101,$A$102:$H$102,0))*고양시_Modal_split!H$3 * 0.01</f>
        <v>6.8730763295169435E-5</v>
      </c>
      <c r="BW107" s="207">
        <f>INDEX($A$102:$H$115,MATCH($L107,$B$102:$B$115,0),MATCH($BQ$101,$A$102:$H$102,0))*고양시_Modal_split!I$3 * 0.01</f>
        <v>1.91071521960571E-2</v>
      </c>
      <c r="BX107" s="207">
        <f>INDEX($A$102:$H$115,MATCH($L107,$B$102:$B$115,0),MATCH($BQ$101,$A$102:$H$102,0))*고양시_Modal_split!J$3 * 0.01</f>
        <v>0.20921644347049576</v>
      </c>
      <c r="BY107" s="207">
        <f>INDEX($A$102:$H$115,MATCH($L107,$B$102:$B$115,0),MATCH($BQ$101,$A$102:$H$102,0))*고양시_Modal_split!K$3 * 0.01</f>
        <v>1.0309614494275413E-3</v>
      </c>
      <c r="BZ107" s="207">
        <f>INDEX($A$102:$H$115,MATCH($L107,$B$102:$B$115,0),MATCH($BQ$101,$A$102:$H$102,0))*고양시_Modal_split!L$3 * 0.01</f>
        <v>2.0756690515141171E-2</v>
      </c>
      <c r="CA107" s="207">
        <f>INDEX($A$102:$H$115,MATCH($L107,$B$102:$B$115,0),MATCH($BQ$101,$A$102:$H$102,0))*고양시_Modal_split!M$3 * 0.01</f>
        <v>1.5808075557888967E-3</v>
      </c>
      <c r="CB107" s="207">
        <f>INDEX($A$102:$H$115,MATCH($L107,$B$102:$B$115,0),MATCH($BQ$101,$A$102:$H$102,0))*고양시_Modal_split!N$3 * 0.01</f>
        <v>6.8730763295169427E-4</v>
      </c>
      <c r="CC107" s="207">
        <f>INDEX($A$102:$H$115,MATCH($L107,$B$102:$B$115,0),MATCH($BQ$101,$A$102:$H$102,0))*고양시_Modal_split!O$3 * 0.01</f>
        <v>1.2371537393130497E-3</v>
      </c>
      <c r="CD107" s="207">
        <f>INDEX($A$102:$H$115,MATCH($L107,$B$102:$B$115,0),MATCH($BQ$101,$A$102:$H$102,0))*고양시_Modal_split!P$3 * 0.01</f>
        <v>0.68730763295169428</v>
      </c>
      <c r="CE107" s="304">
        <f t="shared" si="51"/>
        <v>6.6302788436976519</v>
      </c>
      <c r="CF107" s="304">
        <f t="shared" si="47"/>
        <v>1113.6500500682168</v>
      </c>
      <c r="CG107" s="304">
        <f t="shared" si="47"/>
        <v>134.7367379308559</v>
      </c>
      <c r="CH107" s="304">
        <f t="shared" si="47"/>
        <v>217.14163213109819</v>
      </c>
      <c r="CI107" s="304">
        <f t="shared" si="47"/>
        <v>21.785201915006574</v>
      </c>
      <c r="CJ107" s="304">
        <f t="shared" si="47"/>
        <v>0.23679567298920193</v>
      </c>
      <c r="CK107" s="304">
        <f t="shared" si="47"/>
        <v>65.829197090998122</v>
      </c>
      <c r="CL107" s="304">
        <f t="shared" si="47"/>
        <v>720.80602857913073</v>
      </c>
      <c r="CM107" s="304">
        <f t="shared" si="47"/>
        <v>3.5519350948380293</v>
      </c>
      <c r="CN107" s="304">
        <f t="shared" si="47"/>
        <v>71.512293242738977</v>
      </c>
      <c r="CO107" s="304">
        <f t="shared" si="47"/>
        <v>5.4463004787516436</v>
      </c>
      <c r="CP107" s="304">
        <f t="shared" si="47"/>
        <v>2.3679567298920192</v>
      </c>
      <c r="CQ107" s="304">
        <f t="shared" si="47"/>
        <v>4.2623221138056353</v>
      </c>
      <c r="CR107" s="304">
        <f t="shared" si="47"/>
        <v>2367.9567298920188</v>
      </c>
      <c r="CS107" s="305">
        <f t="shared" si="52"/>
        <v>0</v>
      </c>
      <c r="CV107" s="265"/>
      <c r="CW107" s="265" t="s">
        <v>673</v>
      </c>
      <c r="CX107" s="267">
        <f>INDEX($M$101:$Z$115,MATCH($CW107,$L$101:$L$115,0),MATCH(CX$102,$M$102:$Z$102,0))/INDEX(고양시_재차인원!$D$4:$H$35,MATCH("고양시",고양시_재차인원!$B$4:$B$35,0),MATCH($CX$101,고양시_재차인원!$D$4:$H$4,0))</f>
        <v>108.97492465282248</v>
      </c>
      <c r="CY107" s="267">
        <f>INDEX($M$101:$Z$115,MATCH($CW107,$L$101:$L$115,0),MATCH(CY$102,$M$102:$Z$102,0))/INDEX(고양시_재차인원!$K$4:$O$20,MATCH("경기도",고양시_재차인원!$K$4:$K$20,0),MATCH(CY$102,고양시_재차인원!$K$4:$O$4,0))</f>
        <v>9.0142159163045731E-4</v>
      </c>
      <c r="CZ107" s="267">
        <f>INDEX($M$101:$Z$115,MATCH($CW107,$L$101:$L$115,0),MATCH(CZ$102,$M$102:$Z$102,0))/INDEX(고양시_재차인원!$K$4:$O$20,MATCH("경기도",고양시_재차인원!$K$4:$K$20,0),MATCH(CZ$102,고양시_재차인원!$K$4:$O$4,0))</f>
        <v>0.25059520247326711</v>
      </c>
      <c r="DA107" s="267">
        <f>INDEX($M$101:$Z$115,MATCH($CW107,$L$101:$L$115,0),MATCH(DA$102,$M$102:$Z$102,0))/INDEX(고양시_재차인원!$D$4:$H$35,MATCH("고양시",고양시_재차인원!$B$4:$B$35,0),MATCH($CX$101,고양시_재차인원!$D$4:$H$4,0))</f>
        <v>6.997751912641375</v>
      </c>
      <c r="DB107" s="267">
        <f>INDEX($AA$101:$AN$115,MATCH($CW107,$L$101:$L$115,0),MATCH(DB$102,$AA$102:$AN$102,0))/INDEX(고양시_재차인원!$D$4:$H$35,MATCH("고양시",고양시_재차인원!$B$4:$B$35,0),MATCH($DB$101,고양시_재차인원!$D$4:$H$4,0))</f>
        <v>673.1148736995433</v>
      </c>
      <c r="DC107" s="267">
        <f>INDEX($AA$101:$AN$115,MATCH($CW107,$L$101:$L$115,0),MATCH(DC$102,$AA$102:$AN$102,0))/INDEX(고양시_재차인원!$K$4:$O$20,MATCH("경기도",고양시_재차인원!$K$4:$K$20,0),MATCH(DC$102,고양시_재차인원!$K$4:$O$4,0))</f>
        <v>7.009574504787992E-3</v>
      </c>
      <c r="DD107" s="267">
        <f>INDEX($AA$101:$AN$115,MATCH($CW107,$L$101:$L$115,0),MATCH(DD$102,$AA$102:$AN$102,0))/INDEX(고양시_재차인원!$K$4:$O$20,MATCH("경기도",고양시_재차인원!$K$4:$K$20,0),MATCH(DD$102,고양시_재차인원!$K$4:$O$4,0))</f>
        <v>1.9486617123310614</v>
      </c>
      <c r="DE107" s="267">
        <f>INDEX($AA$101:$AN$115,MATCH($CW107,$L$101:$L$115,0),MATCH(DE$102,$AA$102:$AN$102,0))/INDEX(고양시_재차인원!$D$4:$H$35,MATCH("고양시",고양시_재차인원!$B$4:$B$35,0),MATCH($DB$101,고양시_재차인원!$D$4:$H$4,0))</f>
        <v>43.223621487829483</v>
      </c>
      <c r="DF107" s="267">
        <f>INDEX($AO$101:$BB$115,MATCH($CW107,$L$101:$L$115,0),MATCH(DF$102,$AO$102:$BB$102,0))/INDEX(고양시_재차인원!$D$4:$H$35,MATCH("고양시",고양시_재차인원!$B$4:$B$35,0),MATCH($DF$101,고양시_재차인원!$D$4:$H$4,0))</f>
        <v>32.360643676788037</v>
      </c>
      <c r="DG107" s="267">
        <f>INDEX($AO$101:$BB$115,MATCH($CW107,$L$101:$L$115,0),MATCH(DG$102,$AO$102:$BB$102,0))/INDEX(고양시_재차인원!$K$4:$O$20,MATCH("경기도",고양시_재차인원!$K$4:$K$20,0),MATCH(DG$102,고양시_재차인원!$K$4:$O$4,0))</f>
        <v>3.1070186500738113E-4</v>
      </c>
      <c r="DH107" s="267">
        <f>INDEX($AO$101:$BB$115,MATCH($CW107,$L$101:$L$115,0),MATCH(DH$102,$AO$102:$BB$102,0))/INDEX(고양시_재차인원!$K$4:$O$20,MATCH("경기도",고양시_재차인원!$K$4:$K$20,0),MATCH(DH$102,고양시_재차인원!$K$4:$O$4,0))</f>
        <v>8.637511847205194E-2</v>
      </c>
      <c r="DI107" s="267">
        <f>INDEX($AO$101:$BB$115,MATCH($CW107,$L$101:$L$115,0),MATCH(DI$102,$AO$102:$BB$102,0))/INDEX(고양시_재차인원!$D$4:$H$35,MATCH("고양시",고양시_재차인원!$B$4:$B$35,0),MATCH($DF$101,고양시_재차인원!$D$4:$H$4,0))</f>
        <v>2.0780170934275968</v>
      </c>
      <c r="DJ107" s="267">
        <f>INDEX($BC$101:$BP$115,MATCH($CW107,$L$101:$L$115,0),MATCH(DJ$102,$BC$102:$BP$102,0))/INDEX(고양시_재차인원!$D$4:$H$35,MATCH("고양시",고양시_재차인원!$B$4:$B$35,0),MATCH($DJ$101,고양시_재차인원!$D$4:$H$4,0))</f>
        <v>8.3886015513109743E-2</v>
      </c>
      <c r="DK107" s="267">
        <f>INDEX($BC$101:$BP$115,MATCH($CW107,$L$101:$L$115,0),MATCH(DK$102,$BC$102:$BP$102,0))/INDEX(고양시_재차인원!$K$4:$O$20,MATCH("경기도",고양시_재차인원!$K$4:$K$20,0),MATCH(DK$102,고양시_재차인원!$K$4:$O$4,0))</f>
        <v>8.4258132883357785E-7</v>
      </c>
      <c r="DL107" s="267">
        <f>INDEX($BC$101:$BP$115,MATCH($CW107,$L$101:$L$115,0),MATCH(DL$102,$BC$102:$BP$102,0))/INDEX(고양시_재차인원!$K$4:$O$20,MATCH("경기도",고양시_재차인원!$K$4:$K$20,0),MATCH(DL$102,고양시_재차인원!$K$4:$O$4,0))</f>
        <v>2.3423760941573461E-4</v>
      </c>
      <c r="DM107" s="267">
        <f>INDEX($BC$101:$BP$115,MATCH($CW107,$L$101:$L$115,0),MATCH(DM$102,$BC$102:$BP$102,0))/INDEX(고양시_재차인원!$D$4:$H$35,MATCH("고양시",고양시_재차인원!$B$4:$B$35,0),MATCH($DJ$101,고양시_재차인원!$D$4:$H$4,0))</f>
        <v>5.3866843897425361E-3</v>
      </c>
      <c r="DN107" s="267">
        <f>INDEX($BQ$101:$CD$115,MATCH($CW107,$L$101:$L$115,0),MATCH(DN$102,$BQ$102:$CD$102,0))/INDEX(고양시_재차인원!$D$4:$H$35,MATCH("고양시",고양시_재차인원!$B$4:$B$35,0),MATCH($DN$101,고양시_재차인원!$D$4:$H$4,0))</f>
        <v>0.2565403014104618</v>
      </c>
      <c r="DO107" s="267">
        <f>INDEX($BQ$101:$CD$115,MATCH($CW107,$L$101:$L$115,0),MATCH(DO$102,$BQ$102:$CD$102,0))/INDEX(고양시_재차인원!$K$4:$O$20,MATCH("경기도",고양시_재차인원!$K$4:$K$20,0),MATCH(DO$102,고양시_재차인원!$K$4:$O$4,0))</f>
        <v>2.3873137650284627E-6</v>
      </c>
      <c r="DP107" s="267">
        <f>INDEX($BQ$101:$CD$115,MATCH($CW107,$L$101:$L$115,0),MATCH(DP$102,$BQ$102:$CD$102,0))/INDEX(고양시_재차인원!$K$4:$O$20,MATCH("경기도",고양시_재차인원!$K$4:$K$20,0),MATCH(DP$102,고양시_재차인원!$K$4:$O$4,0))</f>
        <v>6.6367322667791248E-4</v>
      </c>
      <c r="DQ107" s="267">
        <f>INDEX($BQ$101:$CD$115,MATCH($CW107,$L$101:$L$115,0),MATCH(DQ$102,$BQ$102:$CD$102,0))/INDEX(고양시_재차인원!$D$4:$H$35,MATCH("고양시",고양시_재차인원!$B$4:$B$35,0),MATCH($DN$101,고양시_재차인원!$D$4:$H$4,0))</f>
        <v>1.647356390090569E-2</v>
      </c>
      <c r="DR107" s="270">
        <f t="shared" si="53"/>
        <v>814.79086834607745</v>
      </c>
      <c r="DS107" s="270">
        <f t="shared" si="48"/>
        <v>8.2249278565196936E-3</v>
      </c>
      <c r="DT107" s="270">
        <f t="shared" si="48"/>
        <v>2.2865299441124738</v>
      </c>
      <c r="DU107" s="270">
        <f t="shared" si="48"/>
        <v>52.3212507421891</v>
      </c>
      <c r="DW107" s="278"/>
      <c r="DX107" s="278" t="s">
        <v>673</v>
      </c>
      <c r="DY107" s="281">
        <f t="shared" si="54"/>
        <v>867.11211908826658</v>
      </c>
      <c r="DZ107" s="281">
        <f t="shared" si="55"/>
        <v>2.2947548719689936</v>
      </c>
      <c r="EB107" s="278"/>
      <c r="EC107" s="278" t="s">
        <v>673</v>
      </c>
      <c r="ED107" s="281">
        <f t="shared" si="56"/>
        <v>867.11211908826658</v>
      </c>
      <c r="EE107" s="281">
        <f t="shared" si="49"/>
        <v>2.2947548719689936</v>
      </c>
      <c r="EL107" s="306" t="s">
        <v>12</v>
      </c>
      <c r="EM107" s="306" t="s">
        <v>361</v>
      </c>
      <c r="EN107" s="306">
        <v>8261.5616000000009</v>
      </c>
      <c r="EO107" s="306">
        <v>0.12335288692322853</v>
      </c>
      <c r="EP107" s="307">
        <v>849105</v>
      </c>
      <c r="EQ107" s="308">
        <f t="shared" si="57"/>
        <v>23.217307038332173</v>
      </c>
      <c r="ER107" s="308">
        <f t="shared" si="58"/>
        <v>6.1443067473480224E-2</v>
      </c>
      <c r="ET107" s="420" t="s">
        <v>12</v>
      </c>
      <c r="EU107" s="420" t="s">
        <v>361</v>
      </c>
      <c r="EV107" s="420">
        <v>8261.5616000000009</v>
      </c>
      <c r="EW107" s="420">
        <v>0.12335288692322853</v>
      </c>
      <c r="EX107" s="421">
        <v>849105</v>
      </c>
      <c r="EY107" s="422">
        <f t="shared" si="59"/>
        <v>22.555613787739706</v>
      </c>
      <c r="EZ107" s="422">
        <f t="shared" si="60"/>
        <v>5.9691940050486038E-2</v>
      </c>
      <c r="FA107">
        <v>0</v>
      </c>
      <c r="FD107" s="306" t="s">
        <v>12</v>
      </c>
      <c r="FE107" s="306" t="s">
        <v>361</v>
      </c>
      <c r="FF107" s="306">
        <v>8261.5616000000009</v>
      </c>
      <c r="FG107" s="306">
        <v>0.12335288692322853</v>
      </c>
      <c r="FH107" s="307">
        <v>849105</v>
      </c>
      <c r="FI107" s="308">
        <f t="shared" si="61"/>
        <v>22.555613787739706</v>
      </c>
      <c r="FJ107" s="308">
        <f t="shared" si="50"/>
        <v>5.9691940050486038E-2</v>
      </c>
      <c r="FL107" s="101"/>
      <c r="FM107" s="101"/>
      <c r="FN107" s="101"/>
      <c r="FO107" s="101"/>
      <c r="FP107" s="374"/>
      <c r="FQ107" s="404"/>
      <c r="FR107" s="404"/>
    </row>
    <row r="108" spans="1:174" ht="25">
      <c r="A108" s="205"/>
      <c r="B108" s="205" t="s">
        <v>13</v>
      </c>
      <c r="C108" s="400">
        <f>$AB66*KTDB_TripDistribution_2045!L$12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86.612114384369733</v>
      </c>
      <c r="D108" s="400">
        <f>$AB66*KTDB_TripDistribution_2045!M$12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673.50735153385267</v>
      </c>
      <c r="E108" s="400">
        <f>$AB66*KTDB_TripDistribution_2045!N$12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29.853451172365997</v>
      </c>
      <c r="F108" s="400">
        <f>$AB66*KTDB_TripDistribution_2045!O$12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8.0958511653874091E-2</v>
      </c>
      <c r="G108" s="400">
        <f>$AB66*KTDB_TripDistribution_2045!P$12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0.22938244968597576</v>
      </c>
      <c r="H108" s="400">
        <f>$AB66*KTDB_TripDistribution_2045!Q$12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790.28325805192833</v>
      </c>
      <c r="K108" s="206"/>
      <c r="L108" s="206" t="s">
        <v>13</v>
      </c>
      <c r="M108" s="206">
        <f>INDEX($A$102:$H$115,MATCH($L108,$B$102:$B$115,0),MATCH($M$101,$A$102:$H$102,0))*고양시_Modal_split!C$3 * 0.01</f>
        <v>0.24251392027623525</v>
      </c>
      <c r="N108" s="206">
        <f>INDEX($A$102:$H$115,MATCH($L108,$B$102:$B$115,0),MATCH($M$101,$A$102:$H$102,0))*고양시_Modal_split!D$3 * 0.01</f>
        <v>40.733677394969085</v>
      </c>
      <c r="O108" s="206">
        <f>INDEX($A$102:$H$115,MATCH($L108,$B$102:$B$115,0),MATCH($M$101,$A$102:$H$102,0))*고양시_Modal_split!E$3 * 0.01</f>
        <v>4.9282293084706374</v>
      </c>
      <c r="P108" s="206">
        <f>INDEX($A$102:$H$115,MATCH($L108,$B$102:$B$115,0),MATCH($M$101,$A$102:$H$102,0))*고양시_Modal_split!F$3 * 0.01</f>
        <v>7.9423308890467048</v>
      </c>
      <c r="Q108" s="206">
        <f>INDEX($A$102:$H$115,MATCH($L108,$B$102:$B$115,0),MATCH($M$101,$A$102:$H$102,0))*고양시_Modal_split!G$3 * 0.01</f>
        <v>0.79683145233620156</v>
      </c>
      <c r="R108" s="206">
        <f>INDEX($A$102:$H$115,MATCH($L108,$B$102:$B$115,0),MATCH($M$101,$A$102:$H$102,0))*고양시_Modal_split!H$3 * 0.01</f>
        <v>8.6612114384369727E-3</v>
      </c>
      <c r="S108" s="206">
        <f>INDEX($A$102:$H$115,MATCH($L108,$B$102:$B$115,0),MATCH($M$101,$A$102:$H$102,0))*고양시_Modal_split!I$3 * 0.01</f>
        <v>2.4078167798854784</v>
      </c>
      <c r="T108" s="206">
        <f>INDEX($A$102:$H$115,MATCH($L108,$B$102:$B$115,0),MATCH($M$101,$A$102:$H$102,0))*고양시_Modal_split!J$3 * 0.01</f>
        <v>26.364727618602146</v>
      </c>
      <c r="U108" s="206">
        <f>INDEX($A$102:$H$115,MATCH($L108,$B$102:$B$115,0),MATCH($M$101,$A$102:$H$102,0))*고양시_Modal_split!K$3 * 0.01</f>
        <v>0.12991817157655461</v>
      </c>
      <c r="V108" s="206">
        <f>INDEX($A$102:$H$115,MATCH($L108,$B$102:$B$115,0),MATCH($M$101,$A$102:$H$102,0))*고양시_Modal_split!L$3 * 0.01</f>
        <v>2.6156858544079662</v>
      </c>
      <c r="W108" s="206">
        <f>INDEX($A$102:$H$115,MATCH($L108,$B$102:$B$115,0),MATCH($M$101,$A$102:$H$102,0))*고양시_Modal_split!M$3 * 0.01</f>
        <v>0.19920786308405039</v>
      </c>
      <c r="X108" s="206">
        <f>INDEX($A$102:$H$115,MATCH($L108,$B$102:$B$115,0),MATCH($M$101,$A$102:$H$102,0))*고양시_Modal_split!N$3 * 0.01</f>
        <v>8.6612114384369734E-2</v>
      </c>
      <c r="Y108" s="206">
        <f>INDEX($A$102:$H$115,MATCH($L108,$B$102:$B$115,0),MATCH($M$101,$A$102:$H$102,0))*고양시_Modal_split!O$3 * 0.01</f>
        <v>0.15590180589186553</v>
      </c>
      <c r="Z108" s="209">
        <f>INDEX($A$102:$H$115,MATCH($L108,$B$102:$B$115,0),MATCH($M$101,$A$102:$H$102,0))*고양시_Modal_split!P$3 * 0.01</f>
        <v>86.612114384369733</v>
      </c>
      <c r="AA108" s="207">
        <f>INDEX($A$102:$H$115,MATCH($L108,$B$102:$B$115,0),MATCH($AA$101,$A$102:$H$102,0))*고양시_Modal_split!C$3 * 0.01</f>
        <v>1.8858205842947875</v>
      </c>
      <c r="AB108" s="207">
        <f>INDEX($A$102:$H$115,MATCH($L108,$B$102:$B$115,0),MATCH($AA$101,$A$102:$H$102,0))*고양시_Modal_split!D$3 * 0.01</f>
        <v>316.75050742637092</v>
      </c>
      <c r="AC108" s="207">
        <f>INDEX($A$102:$H$115,MATCH($L108,$B$102:$B$115,0),MATCH($AA$101,$A$102:$H$102,0))*고양시_Modal_split!E$3 * 0.01</f>
        <v>38.322568302276217</v>
      </c>
      <c r="AD108" s="207">
        <f>INDEX($A$102:$H$115,MATCH($L108,$B$102:$B$115,0),MATCH($AA$101,$A$102:$H$102,0))*고양시_Modal_split!F$3 * 0.01</f>
        <v>61.76062413565429</v>
      </c>
      <c r="AE108" s="207">
        <f>INDEX($A$102:$H$115,MATCH($L108,$B$102:$B$115,0),MATCH($AA$101,$A$102:$H$102,0))*고양시_Modal_split!G$3 * 0.01</f>
        <v>6.1962676341114449</v>
      </c>
      <c r="AF108" s="207">
        <f>INDEX($A$102:$H$115,MATCH($L108,$B$102:$B$115,0),MATCH($AA$101,$A$102:$H$102,0))*고양시_Modal_split!H$3 * 0.01</f>
        <v>6.7350735153385272E-2</v>
      </c>
      <c r="AG108" s="207">
        <f>INDEX($A$102:$H$115,MATCH($L108,$B$102:$B$115,0),MATCH($AA$101,$A$102:$H$102,0))*고양시_Modal_split!I$3 * 0.01</f>
        <v>18.723504372641102</v>
      </c>
      <c r="AH108" s="207">
        <f>INDEX($A$102:$H$115,MATCH($L108,$B$102:$B$115,0),MATCH($AA$101,$A$102:$H$102,0))*고양시_Modal_split!J$3 * 0.01</f>
        <v>205.01563780690478</v>
      </c>
      <c r="AI108" s="207">
        <f>INDEX($A$102:$H$115,MATCH($L108,$B$102:$B$115,0),MATCH($AA$101,$A$102:$H$102,0))*고양시_Modal_split!K$3 * 0.01</f>
        <v>1.010261027300779</v>
      </c>
      <c r="AJ108" s="207">
        <f>INDEX($A$102:$H$115,MATCH($L108,$B$102:$B$115,0),MATCH($AA$101,$A$102:$H$102,0))*고양시_Modal_split!L$3 * 0.01</f>
        <v>20.339922016322351</v>
      </c>
      <c r="AK108" s="207">
        <f>INDEX($A$102:$H$115,MATCH($L108,$B$102:$B$115,0),MATCH($AA$101,$A$102:$H$102,0))*고양시_Modal_split!M$3 * 0.01</f>
        <v>1.5490669085278612</v>
      </c>
      <c r="AL108" s="207">
        <f>INDEX($A$102:$H$115,MATCH($L108,$B$102:$B$115,0),MATCH($AA$101,$A$102:$H$102,0))*고양시_Modal_split!N$3 * 0.01</f>
        <v>0.67350735153385277</v>
      </c>
      <c r="AM108" s="207">
        <f>INDEX($A$102:$H$115,MATCH($L108,$B$102:$B$115,0),MATCH($AA$101,$A$102:$H$102,0))*고양시_Modal_split!O$3 * 0.01</f>
        <v>1.2123132327609347</v>
      </c>
      <c r="AN108" s="207">
        <f>INDEX($A$102:$H$115,MATCH($L108,$B$102:$B$115,0),MATCH($AA$101,$A$102:$H$102,0))*고양시_Modal_split!P$3 * 0.01</f>
        <v>673.50735153385267</v>
      </c>
      <c r="AO108" s="303">
        <f>INDEX($A$102:$H$115,MATCH($L108,$B$102:$B$115,0),MATCH($AO$101,$A$102:$H$102,0))*고양시_Modal_split!C$3 * 0.01</f>
        <v>8.3589663282624793E-2</v>
      </c>
      <c r="AP108" s="303">
        <f>INDEX($A$102:$H$115,MATCH($L108,$B$102:$B$115,0),MATCH($AO$101,$A$102:$H$102,0))*고양시_Modal_split!D$3 * 0.01</f>
        <v>14.040078086363728</v>
      </c>
      <c r="AQ108" s="303">
        <f>INDEX($A$102:$H$115,MATCH($L108,$B$102:$B$115,0),MATCH($AO$101,$A$102:$H$102,0))*고양시_Modal_split!E$3 * 0.01</f>
        <v>1.6986613717076251</v>
      </c>
      <c r="AR108" s="303">
        <f>INDEX($A$102:$H$115,MATCH($L108,$B$102:$B$115,0),MATCH($AO$101,$A$102:$H$102,0))*고양시_Modal_split!F$3 * 0.01</f>
        <v>2.7375614725059623</v>
      </c>
      <c r="AS108" s="303">
        <f>INDEX($A$102:$H$115,MATCH($L108,$B$102:$B$115,0),MATCH($AO$101,$A$102:$H$102,0))*고양시_Modal_split!G$3 * 0.01</f>
        <v>0.27465175078576715</v>
      </c>
      <c r="AT108" s="303">
        <f>INDEX($A$102:$H$115,MATCH($L108,$B$102:$B$115,0),MATCH($AO$101,$A$102:$H$102,0))*고양시_Modal_split!H$3 * 0.01</f>
        <v>2.9853451172365997E-3</v>
      </c>
      <c r="AU108" s="303">
        <f>INDEX($A$102:$H$115,MATCH($L108,$B$102:$B$115,0),MATCH($AO$101,$A$102:$H$102,0))*고양시_Modal_split!I$3 * 0.01</f>
        <v>0.82992594259177466</v>
      </c>
      <c r="AV108" s="303">
        <f>INDEX($A$102:$H$115,MATCH($L108,$B$102:$B$115,0),MATCH($AO$101,$A$102:$H$102,0))*고양시_Modal_split!J$3 * 0.01</f>
        <v>9.0873905368682095</v>
      </c>
      <c r="AW108" s="303">
        <f>INDEX($A$102:$H$115,MATCH($L108,$B$102:$B$115,0),MATCH($AO$101,$A$102:$H$102,0))*고양시_Modal_split!K$3 * 0.01</f>
        <v>4.4780176758548999E-2</v>
      </c>
      <c r="AX108" s="303">
        <f>INDEX($A$102:$H$115,MATCH($L108,$B$102:$B$115,0),MATCH($AO$101,$A$102:$H$102,0))*고양시_Modal_split!L$3 * 0.01</f>
        <v>0.90157422540545318</v>
      </c>
      <c r="AY108" s="303">
        <f>INDEX($A$102:$H$115,MATCH($L108,$B$102:$B$115,0),MATCH($AO$101,$A$102:$H$102,0))*고양시_Modal_split!M$3 * 0.01</f>
        <v>6.8662937696441786E-2</v>
      </c>
      <c r="AZ108" s="303">
        <f>INDEX($A$102:$H$115,MATCH($L108,$B$102:$B$115,0),MATCH($AO$101,$A$102:$H$102,0))*고양시_Modal_split!N$3 * 0.01</f>
        <v>2.9853451172365996E-2</v>
      </c>
      <c r="BA108" s="207">
        <f>INDEX($A$102:$H$115,MATCH($L108,$B$102:$B$115,0),MATCH($AO$101,$A$102:$H$102,0))*고양시_Modal_split!O$3 * 0.01</f>
        <v>5.3736212110258794E-2</v>
      </c>
      <c r="BB108" s="207">
        <f>INDEX($A$102:$H$115,MATCH($L108,$B$102:$B$115,0),MATCH($AO$101,$A$102:$H$102,0))*고양시_Modal_split!P$3 * 0.01</f>
        <v>29.853451172366</v>
      </c>
      <c r="BC108" s="207">
        <f>INDEX($A$102:$H$115,MATCH($L108,$B$102:$B$115,0),MATCH($BC$101,$A$102:$H$102,0))*고양시_Modal_split!C$3 * 0.01</f>
        <v>2.2668383263084742E-4</v>
      </c>
      <c r="BD108" s="207">
        <f>INDEX($A$102:$H$115,MATCH($L108,$B$102:$B$115,0),MATCH($BC$101,$A$102:$H$102,0))*고양시_Modal_split!D$3 * 0.01</f>
        <v>3.8074788030816986E-2</v>
      </c>
      <c r="BE108" s="207">
        <f>INDEX($A$102:$H$115,MATCH($L108,$B$102:$B$115,0),MATCH($BC$101,$A$102:$H$102,0))*고양시_Modal_split!E$3 * 0.01</f>
        <v>4.6065393131054354E-3</v>
      </c>
      <c r="BF108" s="207">
        <f>INDEX($A$102:$H$115,MATCH($L108,$B$102:$B$115,0),MATCH($BC$101,$A$102:$H$102,0))*고양시_Modal_split!F$3 * 0.01</f>
        <v>7.4238955186602543E-3</v>
      </c>
      <c r="BG108" s="207">
        <f>INDEX($A$102:$H$115,MATCH($L108,$B$102:$B$115,0),MATCH($BC$101,$A$102:$H$102,0))*고양시_Modal_split!G$3 * 0.01</f>
        <v>7.4481830721564155E-4</v>
      </c>
      <c r="BH108" s="207">
        <f>INDEX($A$102:$H$115,MATCH($L108,$B$102:$B$115,0),MATCH($BC$101,$A$102:$H$102,0))*고양시_Modal_split!H$3 * 0.01</f>
        <v>8.0958511653874088E-6</v>
      </c>
      <c r="BI108" s="207">
        <f>INDEX($A$102:$H$115,MATCH($L108,$B$102:$B$115,0),MATCH($BC$101,$A$102:$H$102,0))*고양시_Modal_split!I$3 * 0.01</f>
        <v>2.2506466239776996E-3</v>
      </c>
      <c r="BJ108" s="207">
        <f>INDEX($A$102:$H$115,MATCH($L108,$B$102:$B$115,0),MATCH($BC$101,$A$102:$H$102,0))*고양시_Modal_split!J$3 * 0.01</f>
        <v>2.4643770947439275E-2</v>
      </c>
      <c r="BK108" s="207">
        <f>INDEX($A$102:$H$115,MATCH($L108,$B$102:$B$115,0),MATCH($BC$101,$A$102:$H$102,0))*고양시_Modal_split!K$3 * 0.01</f>
        <v>1.2143776748081113E-4</v>
      </c>
      <c r="BL108" s="207">
        <f>INDEX($A$102:$H$115,MATCH($L108,$B$102:$B$115,0),MATCH($BC$101,$A$102:$H$102,0))*고양시_Modal_split!L$3 * 0.01</f>
        <v>2.4449470519469978E-3</v>
      </c>
      <c r="BM108" s="207">
        <f>INDEX($A$102:$H$115,MATCH($L108,$B$102:$B$115,0),MATCH($BC$101,$A$102:$H$102,0))*고양시_Modal_split!M$3 * 0.01</f>
        <v>1.8620457680391039E-4</v>
      </c>
      <c r="BN108" s="207">
        <f>INDEX($A$102:$H$115,MATCH($L108,$B$102:$B$115,0),MATCH($BC$101,$A$102:$H$102,0))*고양시_Modal_split!N$3 * 0.01</f>
        <v>8.0958511653874101E-5</v>
      </c>
      <c r="BO108" s="207">
        <f>INDEX($A$102:$H$115,MATCH($L108,$B$102:$B$115,0),MATCH($BC$101,$A$102:$H$102,0))*고양시_Modal_split!O$3 * 0.01</f>
        <v>1.4572532097697336E-4</v>
      </c>
      <c r="BP108" s="207">
        <f>INDEX($A$102:$H$115,MATCH($L108,$B$102:$B$115,0),MATCH($BC$101,$A$102:$H$102,0))*고양시_Modal_split!P$3 * 0.01</f>
        <v>8.0958511653874091E-2</v>
      </c>
      <c r="BQ108" s="207">
        <f>INDEX($A$102:$H$115,MATCH($L108,$B$102:$B$115,0),MATCH($BQ$101,$A$102:$H$102,0))*고양시_Modal_split!C$3 * 0.01</f>
        <v>6.4227085912073214E-4</v>
      </c>
      <c r="BR108" s="207">
        <f>INDEX($A$102:$H$115,MATCH($L108,$B$102:$B$115,0),MATCH($BQ$101,$A$102:$H$102,0))*고양시_Modal_split!D$3 * 0.01</f>
        <v>0.1078785660873144</v>
      </c>
      <c r="BS108" s="207">
        <f>INDEX($A$102:$H$115,MATCH($L108,$B$102:$B$115,0),MATCH($BQ$101,$A$102:$H$102,0))*고양시_Modal_split!E$3 * 0.01</f>
        <v>1.3051861387132021E-2</v>
      </c>
      <c r="BT108" s="207">
        <f>INDEX($A$102:$H$115,MATCH($L108,$B$102:$B$115,0),MATCH($BQ$101,$A$102:$H$102,0))*고양시_Modal_split!F$3 * 0.01</f>
        <v>2.1034370636203979E-2</v>
      </c>
      <c r="BU108" s="207">
        <f>INDEX($A$102:$H$115,MATCH($L108,$B$102:$B$115,0),MATCH($BQ$101,$A$102:$H$102,0))*고양시_Modal_split!G$3 * 0.01</f>
        <v>2.1103185371109771E-3</v>
      </c>
      <c r="BV108" s="207">
        <f>INDEX($A$102:$H$115,MATCH($L108,$B$102:$B$115,0),MATCH($BQ$101,$A$102:$H$102,0))*고양시_Modal_split!H$3 * 0.01</f>
        <v>2.2938244968597578E-5</v>
      </c>
      <c r="BW108" s="207">
        <f>INDEX($A$102:$H$115,MATCH($L108,$B$102:$B$115,0),MATCH($BQ$101,$A$102:$H$102,0))*고양시_Modal_split!I$3 * 0.01</f>
        <v>6.3768321012701258E-3</v>
      </c>
      <c r="BX108" s="207">
        <f>INDEX($A$102:$H$115,MATCH($L108,$B$102:$B$115,0),MATCH($BQ$101,$A$102:$H$102,0))*고양시_Modal_split!J$3 * 0.01</f>
        <v>6.982401768441103E-2</v>
      </c>
      <c r="BY108" s="207">
        <f>INDEX($A$102:$H$115,MATCH($L108,$B$102:$B$115,0),MATCH($BQ$101,$A$102:$H$102,0))*고양시_Modal_split!K$3 * 0.01</f>
        <v>3.4407367452896363E-4</v>
      </c>
      <c r="BZ108" s="207">
        <f>INDEX($A$102:$H$115,MATCH($L108,$B$102:$B$115,0),MATCH($BQ$101,$A$102:$H$102,0))*고양시_Modal_split!L$3 * 0.01</f>
        <v>6.9273499805164685E-3</v>
      </c>
      <c r="CA108" s="207">
        <f>INDEX($A$102:$H$115,MATCH($L108,$B$102:$B$115,0),MATCH($BQ$101,$A$102:$H$102,0))*고양시_Modal_split!M$3 * 0.01</f>
        <v>5.2757963427774428E-4</v>
      </c>
      <c r="CB108" s="207">
        <f>INDEX($A$102:$H$115,MATCH($L108,$B$102:$B$115,0),MATCH($BQ$101,$A$102:$H$102,0))*고양시_Modal_split!N$3 * 0.01</f>
        <v>2.2938244968597577E-4</v>
      </c>
      <c r="CC108" s="207">
        <f>INDEX($A$102:$H$115,MATCH($L108,$B$102:$B$115,0),MATCH($BQ$101,$A$102:$H$102,0))*고양시_Modal_split!O$3 * 0.01</f>
        <v>4.1288840943475637E-4</v>
      </c>
      <c r="CD108" s="207">
        <f>INDEX($A$102:$H$115,MATCH($L108,$B$102:$B$115,0),MATCH($BQ$101,$A$102:$H$102,0))*고양시_Modal_split!P$3 * 0.01</f>
        <v>0.22938244968597576</v>
      </c>
      <c r="CE108" s="304">
        <f t="shared" si="51"/>
        <v>2.2127931225453996</v>
      </c>
      <c r="CF108" s="304">
        <f t="shared" si="47"/>
        <v>371.67021626182191</v>
      </c>
      <c r="CG108" s="304">
        <f t="shared" si="47"/>
        <v>44.967117383154722</v>
      </c>
      <c r="CH108" s="304">
        <f t="shared" si="47"/>
        <v>72.468974763361814</v>
      </c>
      <c r="CI108" s="304">
        <f t="shared" si="47"/>
        <v>7.2706059740777409</v>
      </c>
      <c r="CJ108" s="304">
        <f t="shared" si="47"/>
        <v>7.9028325805192826E-2</v>
      </c>
      <c r="CK108" s="304">
        <f t="shared" si="47"/>
        <v>21.969874573843605</v>
      </c>
      <c r="CL108" s="304">
        <f t="shared" si="47"/>
        <v>240.562223751007</v>
      </c>
      <c r="CM108" s="304">
        <f t="shared" si="47"/>
        <v>1.1854248870778923</v>
      </c>
      <c r="CN108" s="304">
        <f t="shared" si="47"/>
        <v>23.866554393168236</v>
      </c>
      <c r="CO108" s="304">
        <f t="shared" si="47"/>
        <v>1.8176514935194352</v>
      </c>
      <c r="CP108" s="304">
        <f t="shared" si="47"/>
        <v>0.79028325805192845</v>
      </c>
      <c r="CQ108" s="304">
        <f t="shared" si="47"/>
        <v>1.4225098644934706</v>
      </c>
      <c r="CR108" s="304">
        <f t="shared" si="47"/>
        <v>790.28325805192833</v>
      </c>
      <c r="CS108" s="305">
        <f t="shared" si="52"/>
        <v>0</v>
      </c>
      <c r="CV108" s="267"/>
      <c r="CW108" s="267" t="s">
        <v>13</v>
      </c>
      <c r="CX108" s="267">
        <f>INDEX($M$101:$Z$115,MATCH($CW108,$L$101:$L$115,0),MATCH(CX$102,$M$102:$Z$102,0))/INDEX(고양시_재차인원!$D$4:$H$35,MATCH("고양시",고양시_재차인원!$B$4:$B$35,0),MATCH($CX$101,고양시_재차인원!$D$4:$H$4,0))</f>
        <v>36.369354816936678</v>
      </c>
      <c r="CY108" s="267">
        <f>INDEX($M$101:$Z$115,MATCH($CW108,$L$101:$L$115,0),MATCH(CY$102,$M$102:$Z$102,0))/INDEX(고양시_재차인원!$K$4:$O$20,MATCH("경기도",고양시_재차인원!$K$4:$K$20,0),MATCH(CY$102,고양시_재차인원!$K$4:$O$4,0))</f>
        <v>3.0084096694814078E-4</v>
      </c>
      <c r="CZ108" s="267">
        <f>INDEX($M$101:$Z$115,MATCH($CW108,$L$101:$L$115,0),MATCH(CZ$102,$M$102:$Z$102,0))/INDEX(고양시_재차인원!$K$4:$O$20,MATCH("경기도",고양시_재차인원!$K$4:$K$20,0),MATCH(CZ$102,고양시_재차인원!$K$4:$O$4,0))</f>
        <v>8.3633788811583135E-2</v>
      </c>
      <c r="DA108" s="267">
        <f>INDEX($M$101:$Z$115,MATCH($CW108,$L$101:$L$115,0),MATCH(DA$102,$M$102:$Z$102,0))/INDEX(고양시_재차인원!$D$4:$H$35,MATCH("고양시",고양시_재차인원!$B$4:$B$35,0),MATCH($CX$101,고양시_재차인원!$D$4:$H$4,0))</f>
        <v>2.3354337985785412</v>
      </c>
      <c r="DB108" s="267">
        <f>INDEX($AA$101:$AN$115,MATCH($CW108,$L$101:$L$115,0),MATCH(DB$102,$AA$102:$AN$102,0))/INDEX(고양시_재차인원!$D$4:$H$35,MATCH("고양시",고양시_재차인원!$B$4:$B$35,0),MATCH($DB$101,고양시_재차인원!$D$4:$H$4,0))</f>
        <v>224.64574994778081</v>
      </c>
      <c r="DC108" s="267">
        <f>INDEX($AA$101:$AN$115,MATCH($CW108,$L$101:$L$115,0),MATCH(DC$102,$AA$102:$AN$102,0))/INDEX(고양시_재차인원!$K$4:$O$20,MATCH("경기도",고양시_재차인원!$K$4:$K$20,0),MATCH(DC$102,고양시_재차인원!$K$4:$O$4,0))</f>
        <v>2.3393794773666297E-3</v>
      </c>
      <c r="DD108" s="267">
        <f>INDEX($AA$101:$AN$115,MATCH($CW108,$L$101:$L$115,0),MATCH(DD$102,$AA$102:$AN$102,0))/INDEX(고양시_재차인원!$K$4:$O$20,MATCH("경기도",고양시_재차인원!$K$4:$K$20,0),MATCH(DD$102,고양시_재차인원!$K$4:$O$4,0))</f>
        <v>0.65034749470792297</v>
      </c>
      <c r="DE108" s="267">
        <f>INDEX($AA$101:$AN$115,MATCH($CW108,$L$101:$L$115,0),MATCH(DE$102,$AA$102:$AN$102,0))/INDEX(고양시_재차인원!$D$4:$H$35,MATCH("고양시",고양시_재차인원!$B$4:$B$35,0),MATCH($DB$101,고양시_재차인원!$D$4:$H$4,0))</f>
        <v>14.425476607320817</v>
      </c>
      <c r="DF108" s="267">
        <f>INDEX($AO$101:$BB$115,MATCH($CW108,$L$101:$L$115,0),MATCH(DF$102,$AO$102:$BB$102,0))/INDEX(고양시_재차인원!$D$4:$H$35,MATCH("고양시",고양시_재차인원!$B$4:$B$35,0),MATCH($DF$101,고양시_재차인원!$D$4:$H$4,0))</f>
        <v>10.800060066433636</v>
      </c>
      <c r="DG108" s="267">
        <f>INDEX($AO$101:$BB$115,MATCH($CW108,$L$101:$L$115,0),MATCH(DG$102,$AO$102:$BB$102,0))/INDEX(고양시_재차인원!$K$4:$O$20,MATCH("경기도",고양시_재차인원!$K$4:$K$20,0),MATCH(DG$102,고양시_재차인원!$K$4:$O$4,0))</f>
        <v>1.0369382136980201E-4</v>
      </c>
      <c r="DH108" s="267">
        <f>INDEX($AO$101:$BB$115,MATCH($CW108,$L$101:$L$115,0),MATCH(DH$102,$AO$102:$BB$102,0))/INDEX(고양시_재차인원!$K$4:$O$20,MATCH("경기도",고양시_재차인원!$K$4:$K$20,0),MATCH(DH$102,고양시_재차인원!$K$4:$O$4,0))</f>
        <v>2.8826882340804955E-2</v>
      </c>
      <c r="DI108" s="267">
        <f>INDEX($AO$101:$BB$115,MATCH($CW108,$L$101:$L$115,0),MATCH(DI$102,$AO$102:$BB$102,0))/INDEX(고양시_재차인원!$D$4:$H$35,MATCH("고양시",고양시_재차인원!$B$4:$B$35,0),MATCH($DF$101,고양시_재차인원!$D$4:$H$4,0))</f>
        <v>0.69351863492727162</v>
      </c>
      <c r="DJ108" s="267">
        <f>INDEX($BC$101:$BP$115,MATCH($CW108,$L$101:$L$115,0),MATCH(DJ$102,$BC$102:$BP$102,0))/INDEX(고양시_재차인원!$D$4:$H$35,MATCH("고양시",고양시_재차인원!$B$4:$B$35,0),MATCH($DJ$101,고양시_재차인원!$D$4:$H$4,0))</f>
        <v>2.799616766971837E-2</v>
      </c>
      <c r="DK108" s="267">
        <f>INDEX($BC$101:$BP$115,MATCH($CW108,$L$101:$L$115,0),MATCH(DK$102,$BC$102:$BP$102,0))/INDEX(고양시_재차인원!$K$4:$O$20,MATCH("경기도",고양시_재차인원!$K$4:$K$20,0),MATCH(DK$102,고양시_재차인원!$K$4:$O$4,0))</f>
        <v>2.8120358337573495E-7</v>
      </c>
      <c r="DL108" s="267">
        <f>INDEX($BC$101:$BP$115,MATCH($CW108,$L$101:$L$115,0),MATCH(DL$102,$BC$102:$BP$102,0))/INDEX(고양시_재차인원!$K$4:$O$20,MATCH("경기도",고양시_재차인원!$K$4:$K$20,0),MATCH(DL$102,고양시_재차인원!$K$4:$O$4,0))</f>
        <v>7.8174596178454315E-5</v>
      </c>
      <c r="DM108" s="267">
        <f>INDEX($BC$101:$BP$115,MATCH($CW108,$L$101:$L$115,0),MATCH(DM$102,$BC$102:$BP$102,0))/INDEX(고양시_재차인원!$D$4:$H$35,MATCH("고양시",고양시_재차인원!$B$4:$B$35,0),MATCH($DJ$101,고양시_재차인원!$D$4:$H$4,0))</f>
        <v>1.7977551852551453E-3</v>
      </c>
      <c r="DN108" s="267">
        <f>INDEX($BQ$101:$CD$115,MATCH($CW108,$L$101:$L$115,0),MATCH(DN$102,$BQ$102:$CD$102,0))/INDEX(고양시_재차인원!$D$4:$H$35,MATCH("고양시",고양시_재차인원!$B$4:$B$35,0),MATCH($DN$101,고양시_재차인원!$D$4:$H$4,0))</f>
        <v>8.5617909593106667E-2</v>
      </c>
      <c r="DO108" s="267">
        <f>INDEX($BQ$101:$CD$115,MATCH($CW108,$L$101:$L$115,0),MATCH(DO$102,$BQ$102:$CD$102,0))/INDEX(고양시_재차인원!$K$4:$O$20,MATCH("경기도",고양시_재차인원!$K$4:$K$20,0),MATCH(DO$102,고양시_재차인원!$K$4:$O$4,0))</f>
        <v>7.9674348623124626E-7</v>
      </c>
      <c r="DP108" s="267">
        <f>INDEX($BQ$101:$CD$115,MATCH($CW108,$L$101:$L$115,0),MATCH(DP$102,$BQ$102:$CD$102,0))/INDEX(고양시_재차인원!$K$4:$O$20,MATCH("경기도",고양시_재차인원!$K$4:$K$20,0),MATCH(DP$102,고양시_재차인원!$K$4:$O$4,0))</f>
        <v>2.2149468917228641E-4</v>
      </c>
      <c r="DQ108" s="267">
        <f>INDEX($BQ$101:$CD$115,MATCH($CW108,$L$101:$L$115,0),MATCH(DQ$102,$BQ$102:$CD$102,0))/INDEX(고양시_재차인원!$D$4:$H$35,MATCH("고양시",고양시_재차인원!$B$4:$B$35,0),MATCH($DN$101,고양시_재차인원!$D$4:$H$4,0))</f>
        <v>5.4978968099337056E-3</v>
      </c>
      <c r="DR108" s="270">
        <f t="shared" si="53"/>
        <v>271.9287789084139</v>
      </c>
      <c r="DS108" s="270">
        <f t="shared" si="48"/>
        <v>2.7449922127541796E-3</v>
      </c>
      <c r="DT108" s="270">
        <f t="shared" si="48"/>
        <v>0.76310783514566183</v>
      </c>
      <c r="DU108" s="270">
        <f t="shared" si="48"/>
        <v>17.461724692821821</v>
      </c>
      <c r="DW108" s="278"/>
      <c r="DX108" s="278" t="s">
        <v>13</v>
      </c>
      <c r="DY108" s="281">
        <f t="shared" si="54"/>
        <v>289.39050360123571</v>
      </c>
      <c r="DZ108" s="281">
        <f t="shared" si="55"/>
        <v>0.76585282735841598</v>
      </c>
      <c r="EB108" s="278"/>
      <c r="EC108" s="278" t="s">
        <v>13</v>
      </c>
      <c r="ED108" s="281">
        <f t="shared" si="56"/>
        <v>289.39050360123571</v>
      </c>
      <c r="EE108" s="281">
        <f t="shared" si="49"/>
        <v>0.76585282735841598</v>
      </c>
      <c r="EL108" s="306" t="s">
        <v>12</v>
      </c>
      <c r="EM108" s="306" t="s">
        <v>362</v>
      </c>
      <c r="EN108" s="306">
        <v>22890.217400000001</v>
      </c>
      <c r="EO108" s="306">
        <v>0.3417724802282317</v>
      </c>
      <c r="EP108" s="307">
        <v>849106</v>
      </c>
      <c r="EQ108" s="308">
        <f t="shared" si="57"/>
        <v>64.327935961885657</v>
      </c>
      <c r="ER108" s="308">
        <f t="shared" si="58"/>
        <v>0.17023962784358238</v>
      </c>
      <c r="ET108" s="420" t="s">
        <v>12</v>
      </c>
      <c r="EU108" s="420" t="s">
        <v>362</v>
      </c>
      <c r="EV108" s="420">
        <v>22890.217400000001</v>
      </c>
      <c r="EW108" s="420">
        <v>0.3417724802282317</v>
      </c>
      <c r="EX108" s="421">
        <v>849106</v>
      </c>
      <c r="EY108" s="422">
        <f t="shared" si="59"/>
        <v>62.494589786971915</v>
      </c>
      <c r="EZ108" s="422">
        <f t="shared" si="60"/>
        <v>0.16538779845004029</v>
      </c>
      <c r="FA108">
        <v>0</v>
      </c>
      <c r="FD108" s="306" t="s">
        <v>12</v>
      </c>
      <c r="FE108" s="306" t="s">
        <v>362</v>
      </c>
      <c r="FF108" s="306">
        <v>22890.217400000001</v>
      </c>
      <c r="FG108" s="306">
        <v>0.3417724802282317</v>
      </c>
      <c r="FH108" s="307">
        <v>849106</v>
      </c>
      <c r="FI108" s="308">
        <f t="shared" si="61"/>
        <v>62.494589786971915</v>
      </c>
      <c r="FJ108" s="308">
        <f t="shared" si="50"/>
        <v>0.16538779845004029</v>
      </c>
      <c r="FL108" s="101"/>
      <c r="FM108" s="101"/>
      <c r="FN108" s="101"/>
      <c r="FO108" s="101"/>
      <c r="FP108" s="374"/>
      <c r="FQ108" s="404"/>
      <c r="FR108" s="404"/>
    </row>
    <row r="109" spans="1:174" ht="25">
      <c r="A109" s="205"/>
      <c r="B109" s="205" t="s">
        <v>301</v>
      </c>
      <c r="C109" s="400">
        <f>$AB67*KTDB_TripDistribution_2045!L$12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1521.0228726817047</v>
      </c>
      <c r="D109" s="400">
        <f>$AB67*KTDB_TripDistribution_2045!M$12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11827.676692616769</v>
      </c>
      <c r="E109" s="400">
        <f>$AB67*KTDB_TripDistribution_2045!N$12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524.26594575607714</v>
      </c>
      <c r="F109" s="400">
        <f>$AB67*KTDB_TripDistribution_2045!O$12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1.4217381579825856</v>
      </c>
      <c r="G109" s="400">
        <f>$AB67*KTDB_TripDistribution_2045!P$12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4.0282581142839771</v>
      </c>
      <c r="H109" s="400">
        <f>$AB67*KTDB_TripDistribution_2045!Q$12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13878.415507326818</v>
      </c>
      <c r="I109" s="56"/>
      <c r="J109" s="56"/>
      <c r="K109" s="206"/>
      <c r="L109" s="206" t="s">
        <v>301</v>
      </c>
      <c r="M109" s="206">
        <f>INDEX($A$102:$H$115,MATCH($L109,$B$102:$B$115,0),MATCH($M$101,$A$102:$H$102,0))*고양시_Modal_split!C$3 * 0.01</f>
        <v>4.2588640435087726</v>
      </c>
      <c r="N109" s="206">
        <f>INDEX($A$102:$H$115,MATCH($L109,$B$102:$B$115,0),MATCH($M$101,$A$102:$H$102,0))*고양시_Modal_split!D$3 * 0.01</f>
        <v>715.33705702220573</v>
      </c>
      <c r="O109" s="206">
        <f>INDEX($A$102:$H$115,MATCH($L109,$B$102:$B$115,0),MATCH($M$101,$A$102:$H$102,0))*고양시_Modal_split!E$3 * 0.01</f>
        <v>86.546201455588999</v>
      </c>
      <c r="P109" s="206">
        <f>INDEX($A$102:$H$115,MATCH($L109,$B$102:$B$115,0),MATCH($M$101,$A$102:$H$102,0))*고양시_Modal_split!F$3 * 0.01</f>
        <v>139.47779742491232</v>
      </c>
      <c r="Q109" s="206">
        <f>INDEX($A$102:$H$115,MATCH($L109,$B$102:$B$115,0),MATCH($M$101,$A$102:$H$102,0))*고양시_Modal_split!G$3 * 0.01</f>
        <v>13.993410428671682</v>
      </c>
      <c r="R109" s="206">
        <f>INDEX($A$102:$H$115,MATCH($L109,$B$102:$B$115,0),MATCH($M$101,$A$102:$H$102,0))*고양시_Modal_split!H$3 * 0.01</f>
        <v>0.15210228726817049</v>
      </c>
      <c r="S109" s="206">
        <f>INDEX($A$102:$H$115,MATCH($L109,$B$102:$B$115,0),MATCH($M$101,$A$102:$H$102,0))*고양시_Modal_split!I$3 * 0.01</f>
        <v>42.284435860551383</v>
      </c>
      <c r="T109" s="206">
        <f>INDEX($A$102:$H$115,MATCH($L109,$B$102:$B$115,0),MATCH($M$101,$A$102:$H$102,0))*고양시_Modal_split!J$3 * 0.01</f>
        <v>462.99936244431092</v>
      </c>
      <c r="U109" s="206">
        <f>INDEX($A$102:$H$115,MATCH($L109,$B$102:$B$115,0),MATCH($M$101,$A$102:$H$102,0))*고양시_Modal_split!K$3 * 0.01</f>
        <v>2.281534309022557</v>
      </c>
      <c r="V109" s="206">
        <f>INDEX($A$102:$H$115,MATCH($L109,$B$102:$B$115,0),MATCH($M$101,$A$102:$H$102,0))*고양시_Modal_split!L$3 * 0.01</f>
        <v>45.934890754987485</v>
      </c>
      <c r="W109" s="206">
        <f>INDEX($A$102:$H$115,MATCH($L109,$B$102:$B$115,0),MATCH($M$101,$A$102:$H$102,0))*고양시_Modal_split!M$3 * 0.01</f>
        <v>3.4983526071679205</v>
      </c>
      <c r="X109" s="206">
        <f>INDEX($A$102:$H$115,MATCH($L109,$B$102:$B$115,0),MATCH($M$101,$A$102:$H$102,0))*고양시_Modal_split!N$3 * 0.01</f>
        <v>1.5210228726817048</v>
      </c>
      <c r="Y109" s="206">
        <f>INDEX($A$102:$H$115,MATCH($L109,$B$102:$B$115,0),MATCH($M$101,$A$102:$H$102,0))*고양시_Modal_split!O$3 * 0.01</f>
        <v>2.737841170827068</v>
      </c>
      <c r="Z109" s="209">
        <f>INDEX($A$102:$H$115,MATCH($L109,$B$102:$B$115,0),MATCH($M$101,$A$102:$H$102,0))*고양시_Modal_split!P$3 * 0.01</f>
        <v>1521.0228726817047</v>
      </c>
      <c r="AA109" s="207">
        <f>INDEX($A$102:$H$115,MATCH($L109,$B$102:$B$115,0),MATCH($AA$101,$A$102:$H$102,0))*고양시_Modal_split!C$3 * 0.01</f>
        <v>33.117494739326951</v>
      </c>
      <c r="AB109" s="207">
        <f>INDEX($A$102:$H$115,MATCH($L109,$B$102:$B$115,0),MATCH($AA$101,$A$102:$H$102,0))*고양시_Modal_split!D$3 * 0.01</f>
        <v>5562.556348537667</v>
      </c>
      <c r="AC109" s="207">
        <f>INDEX($A$102:$H$115,MATCH($L109,$B$102:$B$115,0),MATCH($AA$101,$A$102:$H$102,0))*고양시_Modal_split!E$3 * 0.01</f>
        <v>672.99480380989405</v>
      </c>
      <c r="AD109" s="207">
        <f>INDEX($A$102:$H$115,MATCH($L109,$B$102:$B$115,0),MATCH($AA$101,$A$102:$H$102,0))*고양시_Modal_split!F$3 * 0.01</f>
        <v>1084.5979527129577</v>
      </c>
      <c r="AE109" s="207">
        <f>INDEX($A$102:$H$115,MATCH($L109,$B$102:$B$115,0),MATCH($AA$101,$A$102:$H$102,0))*고양시_Modal_split!G$3 * 0.01</f>
        <v>108.81462557207428</v>
      </c>
      <c r="AF109" s="207">
        <f>INDEX($A$102:$H$115,MATCH($L109,$B$102:$B$115,0),MATCH($AA$101,$A$102:$H$102,0))*고양시_Modal_split!H$3 * 0.01</f>
        <v>1.1827676692616771</v>
      </c>
      <c r="AG109" s="207">
        <f>INDEX($A$102:$H$115,MATCH($L109,$B$102:$B$115,0),MATCH($AA$101,$A$102:$H$102,0))*고양시_Modal_split!I$3 * 0.01</f>
        <v>328.80941205474613</v>
      </c>
      <c r="AH109" s="207">
        <f>INDEX($A$102:$H$115,MATCH($L109,$B$102:$B$115,0),MATCH($AA$101,$A$102:$H$102,0))*고양시_Modal_split!J$3 * 0.01</f>
        <v>3600.3447852325444</v>
      </c>
      <c r="AI109" s="207">
        <f>INDEX($A$102:$H$115,MATCH($L109,$B$102:$B$115,0),MATCH($AA$101,$A$102:$H$102,0))*고양시_Modal_split!K$3 * 0.01</f>
        <v>17.741515038925154</v>
      </c>
      <c r="AJ109" s="207">
        <f>INDEX($A$102:$H$115,MATCH($L109,$B$102:$B$115,0),MATCH($AA$101,$A$102:$H$102,0))*고양시_Modal_split!L$3 * 0.01</f>
        <v>357.19583611702643</v>
      </c>
      <c r="AK109" s="207">
        <f>INDEX($A$102:$H$115,MATCH($L109,$B$102:$B$115,0),MATCH($AA$101,$A$102:$H$102,0))*고양시_Modal_split!M$3 * 0.01</f>
        <v>27.203656393018569</v>
      </c>
      <c r="AL109" s="207">
        <f>INDEX($A$102:$H$115,MATCH($L109,$B$102:$B$115,0),MATCH($AA$101,$A$102:$H$102,0))*고양시_Modal_split!N$3 * 0.01</f>
        <v>11.82767669261677</v>
      </c>
      <c r="AM109" s="207">
        <f>INDEX($A$102:$H$115,MATCH($L109,$B$102:$B$115,0),MATCH($AA$101,$A$102:$H$102,0))*고양시_Modal_split!O$3 * 0.01</f>
        <v>21.289818046710185</v>
      </c>
      <c r="AN109" s="207">
        <f>INDEX($A$102:$H$115,MATCH($L109,$B$102:$B$115,0),MATCH($AA$101,$A$102:$H$102,0))*고양시_Modal_split!P$3 * 0.01</f>
        <v>11827.676692616769</v>
      </c>
      <c r="AO109" s="303">
        <f>INDEX($A$102:$H$115,MATCH($L109,$B$102:$B$115,0),MATCH($AO$101,$A$102:$H$102,0))*고양시_Modal_split!C$3 * 0.01</f>
        <v>1.4679446481170157</v>
      </c>
      <c r="AP109" s="303">
        <f>INDEX($A$102:$H$115,MATCH($L109,$B$102:$B$115,0),MATCH($AO$101,$A$102:$H$102,0))*고양시_Modal_split!D$3 * 0.01</f>
        <v>246.56227428908306</v>
      </c>
      <c r="AQ109" s="303">
        <f>INDEX($A$102:$H$115,MATCH($L109,$B$102:$B$115,0),MATCH($AO$101,$A$102:$H$102,0))*고양시_Modal_split!E$3 * 0.01</f>
        <v>29.830732313520791</v>
      </c>
      <c r="AR109" s="303">
        <f>INDEX($A$102:$H$115,MATCH($L109,$B$102:$B$115,0),MATCH($AO$101,$A$102:$H$102,0))*고양시_Modal_split!F$3 * 0.01</f>
        <v>48.075187225832281</v>
      </c>
      <c r="AS109" s="303">
        <f>INDEX($A$102:$H$115,MATCH($L109,$B$102:$B$115,0),MATCH($AO$101,$A$102:$H$102,0))*고양시_Modal_split!G$3 * 0.01</f>
        <v>4.8232467009559095</v>
      </c>
      <c r="AT109" s="303">
        <f>INDEX($A$102:$H$115,MATCH($L109,$B$102:$B$115,0),MATCH($AO$101,$A$102:$H$102,0))*고양시_Modal_split!H$3 * 0.01</f>
        <v>5.2426594575607714E-2</v>
      </c>
      <c r="AU109" s="303">
        <f>INDEX($A$102:$H$115,MATCH($L109,$B$102:$B$115,0),MATCH($AO$101,$A$102:$H$102,0))*고양시_Modal_split!I$3 * 0.01</f>
        <v>14.574593292018944</v>
      </c>
      <c r="AV109" s="303">
        <f>INDEX($A$102:$H$115,MATCH($L109,$B$102:$B$115,0),MATCH($AO$101,$A$102:$H$102,0))*고양시_Modal_split!J$3 * 0.01</f>
        <v>159.58655388814989</v>
      </c>
      <c r="AW109" s="303">
        <f>INDEX($A$102:$H$115,MATCH($L109,$B$102:$B$115,0),MATCH($AO$101,$A$102:$H$102,0))*고양시_Modal_split!K$3 * 0.01</f>
        <v>0.7863989186341156</v>
      </c>
      <c r="AX109" s="303">
        <f>INDEX($A$102:$H$115,MATCH($L109,$B$102:$B$115,0),MATCH($AO$101,$A$102:$H$102,0))*고양시_Modal_split!L$3 * 0.01</f>
        <v>15.83283156183353</v>
      </c>
      <c r="AY109" s="303">
        <f>INDEX($A$102:$H$115,MATCH($L109,$B$102:$B$115,0),MATCH($AO$101,$A$102:$H$102,0))*고양시_Modal_split!M$3 * 0.01</f>
        <v>1.2058116752389774</v>
      </c>
      <c r="AZ109" s="303">
        <f>INDEX($A$102:$H$115,MATCH($L109,$B$102:$B$115,0),MATCH($AO$101,$A$102:$H$102,0))*고양시_Modal_split!N$3 * 0.01</f>
        <v>0.52426594575607721</v>
      </c>
      <c r="BA109" s="207">
        <f>INDEX($A$102:$H$115,MATCH($L109,$B$102:$B$115,0),MATCH($AO$101,$A$102:$H$102,0))*고양시_Modal_split!O$3 * 0.01</f>
        <v>0.94367870236093876</v>
      </c>
      <c r="BB109" s="207">
        <f>INDEX($A$102:$H$115,MATCH($L109,$B$102:$B$115,0),MATCH($AO$101,$A$102:$H$102,0))*고양시_Modal_split!P$3 * 0.01</f>
        <v>524.26594575607714</v>
      </c>
      <c r="BC109" s="207">
        <f>INDEX($A$102:$H$115,MATCH($L109,$B$102:$B$115,0),MATCH($BC$101,$A$102:$H$102,0))*고양시_Modal_split!C$3 * 0.01</f>
        <v>3.9808668423512395E-3</v>
      </c>
      <c r="BD109" s="207">
        <f>INDEX($A$102:$H$115,MATCH($L109,$B$102:$B$115,0),MATCH($BC$101,$A$102:$H$102,0))*고양시_Modal_split!D$3 * 0.01</f>
        <v>0.66864345569921002</v>
      </c>
      <c r="BE109" s="207">
        <f>INDEX($A$102:$H$115,MATCH($L109,$B$102:$B$115,0),MATCH($BC$101,$A$102:$H$102,0))*고양시_Modal_split!E$3 * 0.01</f>
        <v>8.0896901189209114E-2</v>
      </c>
      <c r="BF109" s="207">
        <f>INDEX($A$102:$H$115,MATCH($L109,$B$102:$B$115,0),MATCH($BC$101,$A$102:$H$102,0))*고양시_Modal_split!F$3 * 0.01</f>
        <v>0.13037338908700311</v>
      </c>
      <c r="BG109" s="207">
        <f>INDEX($A$102:$H$115,MATCH($L109,$B$102:$B$115,0),MATCH($BC$101,$A$102:$H$102,0))*고양시_Modal_split!G$3 * 0.01</f>
        <v>1.3079991053439788E-2</v>
      </c>
      <c r="BH109" s="207">
        <f>INDEX($A$102:$H$115,MATCH($L109,$B$102:$B$115,0),MATCH($BC$101,$A$102:$H$102,0))*고양시_Modal_split!H$3 * 0.01</f>
        <v>1.4217381579825856E-4</v>
      </c>
      <c r="BI109" s="207">
        <f>INDEX($A$102:$H$115,MATCH($L109,$B$102:$B$115,0),MATCH($BC$101,$A$102:$H$102,0))*고양시_Modal_split!I$3 * 0.01</f>
        <v>3.9524320791915882E-2</v>
      </c>
      <c r="BJ109" s="207">
        <f>INDEX($A$102:$H$115,MATCH($L109,$B$102:$B$115,0),MATCH($BC$101,$A$102:$H$102,0))*고양시_Modal_split!J$3 * 0.01</f>
        <v>0.43277709528989911</v>
      </c>
      <c r="BK109" s="207">
        <f>INDEX($A$102:$H$115,MATCH($L109,$B$102:$B$115,0),MATCH($BC$101,$A$102:$H$102,0))*고양시_Modal_split!K$3 * 0.01</f>
        <v>2.1326072369738784E-3</v>
      </c>
      <c r="BL109" s="207">
        <f>INDEX($A$102:$H$115,MATCH($L109,$B$102:$B$115,0),MATCH($BC$101,$A$102:$H$102,0))*고양시_Modal_split!L$3 * 0.01</f>
        <v>4.2936492371074088E-2</v>
      </c>
      <c r="BM109" s="207">
        <f>INDEX($A$102:$H$115,MATCH($L109,$B$102:$B$115,0),MATCH($BC$101,$A$102:$H$102,0))*고양시_Modal_split!M$3 * 0.01</f>
        <v>3.269997763359947E-3</v>
      </c>
      <c r="BN109" s="207">
        <f>INDEX($A$102:$H$115,MATCH($L109,$B$102:$B$115,0),MATCH($BC$101,$A$102:$H$102,0))*고양시_Modal_split!N$3 * 0.01</f>
        <v>1.4217381579825859E-3</v>
      </c>
      <c r="BO109" s="207">
        <f>INDEX($A$102:$H$115,MATCH($L109,$B$102:$B$115,0),MATCH($BC$101,$A$102:$H$102,0))*고양시_Modal_split!O$3 * 0.01</f>
        <v>2.5591286843686541E-3</v>
      </c>
      <c r="BP109" s="207">
        <f>INDEX($A$102:$H$115,MATCH($L109,$B$102:$B$115,0),MATCH($BC$101,$A$102:$H$102,0))*고양시_Modal_split!P$3 * 0.01</f>
        <v>1.4217381579825858</v>
      </c>
      <c r="BQ109" s="207">
        <f>INDEX($A$102:$H$115,MATCH($L109,$B$102:$B$115,0),MATCH($BQ$101,$A$102:$H$102,0))*고양시_Modal_split!C$3 * 0.01</f>
        <v>1.1279122719995134E-2</v>
      </c>
      <c r="BR109" s="207">
        <f>INDEX($A$102:$H$115,MATCH($L109,$B$102:$B$115,0),MATCH($BQ$101,$A$102:$H$102,0))*고양시_Modal_split!D$3 * 0.01</f>
        <v>1.8944897911477545</v>
      </c>
      <c r="BS109" s="207">
        <f>INDEX($A$102:$H$115,MATCH($L109,$B$102:$B$115,0),MATCH($BQ$101,$A$102:$H$102,0))*고양시_Modal_split!E$3 * 0.01</f>
        <v>0.22920788670275827</v>
      </c>
      <c r="BT109" s="207">
        <f>INDEX($A$102:$H$115,MATCH($L109,$B$102:$B$115,0),MATCH($BQ$101,$A$102:$H$102,0))*고양시_Modal_split!F$3 * 0.01</f>
        <v>0.36939126907984071</v>
      </c>
      <c r="BU109" s="207">
        <f>INDEX($A$102:$H$115,MATCH($L109,$B$102:$B$115,0),MATCH($BQ$101,$A$102:$H$102,0))*고양시_Modal_split!G$3 * 0.01</f>
        <v>3.7059974651412586E-2</v>
      </c>
      <c r="BV109" s="207">
        <f>INDEX($A$102:$H$115,MATCH($L109,$B$102:$B$115,0),MATCH($BQ$101,$A$102:$H$102,0))*고양시_Modal_split!H$3 * 0.01</f>
        <v>4.0282581142839772E-4</v>
      </c>
      <c r="BW109" s="207">
        <f>INDEX($A$102:$H$115,MATCH($L109,$B$102:$B$115,0),MATCH($BQ$101,$A$102:$H$102,0))*고양시_Modal_split!I$3 * 0.01</f>
        <v>0.11198557557709454</v>
      </c>
      <c r="BX109" s="207">
        <f>INDEX($A$102:$H$115,MATCH($L109,$B$102:$B$115,0),MATCH($BQ$101,$A$102:$H$102,0))*고양시_Modal_split!J$3 * 0.01</f>
        <v>1.2262017699880428</v>
      </c>
      <c r="BY109" s="207">
        <f>INDEX($A$102:$H$115,MATCH($L109,$B$102:$B$115,0),MATCH($BQ$101,$A$102:$H$102,0))*고양시_Modal_split!K$3 * 0.01</f>
        <v>6.0423871714259661E-3</v>
      </c>
      <c r="BZ109" s="207">
        <f>INDEX($A$102:$H$115,MATCH($L109,$B$102:$B$115,0),MATCH($BQ$101,$A$102:$H$102,0))*고양시_Modal_split!L$3 * 0.01</f>
        <v>0.12165339505137611</v>
      </c>
      <c r="CA109" s="207">
        <f>INDEX($A$102:$H$115,MATCH($L109,$B$102:$B$115,0),MATCH($BQ$101,$A$102:$H$102,0))*고양시_Modal_split!M$3 * 0.01</f>
        <v>9.2649936628531465E-3</v>
      </c>
      <c r="CB109" s="207">
        <f>INDEX($A$102:$H$115,MATCH($L109,$B$102:$B$115,0),MATCH($BQ$101,$A$102:$H$102,0))*고양시_Modal_split!N$3 * 0.01</f>
        <v>4.0282581142839771E-3</v>
      </c>
      <c r="CC109" s="207">
        <f>INDEX($A$102:$H$115,MATCH($L109,$B$102:$B$115,0),MATCH($BQ$101,$A$102:$H$102,0))*고양시_Modal_split!O$3 * 0.01</f>
        <v>7.2508646057111584E-3</v>
      </c>
      <c r="CD109" s="207">
        <f>INDEX($A$102:$H$115,MATCH($L109,$B$102:$B$115,0),MATCH($BQ$101,$A$102:$H$102,0))*고양시_Modal_split!P$3 * 0.01</f>
        <v>4.0282581142839771</v>
      </c>
      <c r="CE109" s="304">
        <f t="shared" si="51"/>
        <v>38.859563420515094</v>
      </c>
      <c r="CF109" s="304">
        <f t="shared" si="47"/>
        <v>6527.0188130958031</v>
      </c>
      <c r="CG109" s="304">
        <f t="shared" si="47"/>
        <v>789.68184236689581</v>
      </c>
      <c r="CH109" s="304">
        <f t="shared" si="47"/>
        <v>1272.6507020218692</v>
      </c>
      <c r="CI109" s="304">
        <f t="shared" si="47"/>
        <v>127.68142266740672</v>
      </c>
      <c r="CJ109" s="304">
        <f t="shared" si="47"/>
        <v>1.387841550732682</v>
      </c>
      <c r="CK109" s="304">
        <f t="shared" si="47"/>
        <v>385.81995110368547</v>
      </c>
      <c r="CL109" s="304">
        <f t="shared" si="47"/>
        <v>4224.5896804302829</v>
      </c>
      <c r="CM109" s="304">
        <f t="shared" si="47"/>
        <v>20.817623260990228</v>
      </c>
      <c r="CN109" s="304">
        <f t="shared" si="47"/>
        <v>419.12814832126992</v>
      </c>
      <c r="CO109" s="304">
        <f t="shared" si="47"/>
        <v>31.92035566685168</v>
      </c>
      <c r="CP109" s="304">
        <f t="shared" si="47"/>
        <v>13.878415507326819</v>
      </c>
      <c r="CQ109" s="304">
        <f t="shared" si="47"/>
        <v>24.98114791318827</v>
      </c>
      <c r="CR109" s="304">
        <f t="shared" si="47"/>
        <v>13878.415507326816</v>
      </c>
      <c r="CS109" s="305">
        <f t="shared" si="52"/>
        <v>0</v>
      </c>
      <c r="CV109" s="267"/>
      <c r="CW109" s="267" t="s">
        <v>301</v>
      </c>
      <c r="CX109" s="267">
        <f>INDEX($M$101:$Z$115,MATCH($CW109,$L$101:$L$115,0),MATCH(CX$102,$M$102:$Z$102,0))/INDEX(고양시_재차인원!$D$4:$H$35,MATCH("고양시",고양시_재차인원!$B$4:$B$35,0),MATCH($CX$101,고양시_재차인원!$D$4:$H$4,0))</f>
        <v>638.69380091268363</v>
      </c>
      <c r="CY109" s="267">
        <f>INDEX($M$101:$Z$115,MATCH($CW109,$L$101:$L$115,0),MATCH(CY$102,$M$102:$Z$102,0))/INDEX(고양시_재차인원!$K$4:$O$20,MATCH("경기도",고양시_재차인원!$K$4:$K$20,0),MATCH(CY$102,고양시_재차인원!$K$4:$O$4,0))</f>
        <v>5.2831638509263801E-3</v>
      </c>
      <c r="CZ109" s="267">
        <f>INDEX($M$101:$Z$115,MATCH($CW109,$L$101:$L$115,0),MATCH(CZ$102,$M$102:$Z$102,0))/INDEX(고양시_재차인원!$K$4:$O$20,MATCH("경기도",고양시_재차인원!$K$4:$K$20,0),MATCH(CZ$102,고양시_재차인원!$K$4:$O$4,0))</f>
        <v>1.4687195505575332</v>
      </c>
      <c r="DA109" s="267">
        <f>INDEX($M$101:$Z$115,MATCH($CW109,$L$101:$L$115,0),MATCH(DA$102,$M$102:$Z$102,0))/INDEX(고양시_재차인원!$D$4:$H$35,MATCH("고양시",고양시_재차인원!$B$4:$B$35,0),MATCH($CX$101,고양시_재차인원!$D$4:$H$4,0))</f>
        <v>41.013295316953105</v>
      </c>
      <c r="DB109" s="267">
        <f>INDEX($AA$101:$AN$115,MATCH($CW109,$L$101:$L$115,0),MATCH(DB$102,$AA$102:$AN$102,0))/INDEX(고양시_재차인원!$D$4:$H$35,MATCH("고양시",고양시_재차인원!$B$4:$B$35,0),MATCH($DB$101,고양시_재차인원!$D$4:$H$4,0))</f>
        <v>3945.0754244947993</v>
      </c>
      <c r="DC109" s="267">
        <f>INDEX($AA$101:$AN$115,MATCH($CW109,$L$101:$L$115,0),MATCH(DC$102,$AA$102:$AN$102,0))/INDEX(고양시_재차인원!$K$4:$O$20,MATCH("경기도",고양시_재차인원!$K$4:$K$20,0),MATCH(DC$102,고양시_재차인원!$K$4:$O$4,0))</f>
        <v>4.1082586636390313E-2</v>
      </c>
      <c r="DD109" s="267">
        <f>INDEX($AA$101:$AN$115,MATCH($CW109,$L$101:$L$115,0),MATCH(DD$102,$AA$102:$AN$102,0))/INDEX(고양시_재차인원!$K$4:$O$20,MATCH("경기도",고양시_재차인원!$K$4:$K$20,0),MATCH(DD$102,고양시_재차인원!$K$4:$O$4,0))</f>
        <v>11.420959084916504</v>
      </c>
      <c r="DE109" s="267">
        <f>INDEX($AA$101:$AN$115,MATCH($CW109,$L$101:$L$115,0),MATCH(DE$102,$AA$102:$AN$102,0))/INDEX(고양시_재차인원!$D$4:$H$35,MATCH("고양시",고양시_재차인원!$B$4:$B$35,0),MATCH($DB$101,고양시_재차인원!$D$4:$H$4,0))</f>
        <v>253.33038022484146</v>
      </c>
      <c r="DF109" s="267">
        <f>INDEX($AO$101:$BB$115,MATCH($CW109,$L$101:$L$115,0),MATCH(DF$102,$AO$102:$BB$102,0))/INDEX(고양시_재차인원!$D$4:$H$35,MATCH("고양시",고양시_재차인원!$B$4:$B$35,0),MATCH($DF$101,고양시_재차인원!$D$4:$H$4,0))</f>
        <v>189.66328791467927</v>
      </c>
      <c r="DG109" s="267">
        <f>INDEX($AO$101:$BB$115,MATCH($CW109,$L$101:$L$115,0),MATCH(DG$102,$AO$102:$BB$102,0))/INDEX(고양시_재차인원!$K$4:$O$20,MATCH("경기도",고양시_재차인원!$K$4:$K$20,0),MATCH(DG$102,고양시_재차인원!$K$4:$O$4,0))</f>
        <v>1.8210001589304521E-3</v>
      </c>
      <c r="DH109" s="267">
        <f>INDEX($AO$101:$BB$115,MATCH($CW109,$L$101:$L$115,0),MATCH(DH$102,$AO$102:$BB$102,0))/INDEX(고양시_재차인원!$K$4:$O$20,MATCH("경기도",고양시_재차인원!$K$4:$K$20,0),MATCH(DH$102,고양시_재차인원!$K$4:$O$4,0))</f>
        <v>0.50623804418266571</v>
      </c>
      <c r="DI109" s="267">
        <f>INDEX($AO$101:$BB$115,MATCH($CW109,$L$101:$L$115,0),MATCH(DI$102,$AO$102:$BB$102,0))/INDEX(고양시_재차인원!$D$4:$H$35,MATCH("고양시",고양시_재차인원!$B$4:$B$35,0),MATCH($DF$101,고양시_재차인원!$D$4:$H$4,0))</f>
        <v>12.179101201410408</v>
      </c>
      <c r="DJ109" s="267">
        <f>INDEX($BC$101:$BP$115,MATCH($CW109,$L$101:$L$115,0),MATCH(DJ$102,$BC$102:$BP$102,0))/INDEX(고양시_재차인원!$D$4:$H$35,MATCH("고양시",고양시_재차인원!$B$4:$B$35,0),MATCH($DJ$101,고양시_재차인원!$D$4:$H$4,0))</f>
        <v>0.49164959977883088</v>
      </c>
      <c r="DK109" s="267">
        <f>INDEX($BC$101:$BP$115,MATCH($CW109,$L$101:$L$115,0),MATCH(DK$102,$BC$102:$BP$102,0))/INDEX(고양시_재차인원!$K$4:$O$20,MATCH("경기도",고양시_재차인원!$K$4:$K$20,0),MATCH(DK$102,고양시_재차인원!$K$4:$O$4,0))</f>
        <v>4.9383055157436115E-6</v>
      </c>
      <c r="DL109" s="267">
        <f>INDEX($BC$101:$BP$115,MATCH($CW109,$L$101:$L$115,0),MATCH(DL$102,$BC$102:$BP$102,0))/INDEX(고양시_재차인원!$K$4:$O$20,MATCH("경기도",고양시_재차인원!$K$4:$K$20,0),MATCH(DL$102,고양시_재차인원!$K$4:$O$4,0))</f>
        <v>1.3728489333767239E-3</v>
      </c>
      <c r="DM109" s="267">
        <f>INDEX($BC$101:$BP$115,MATCH($CW109,$L$101:$L$115,0),MATCH(DM$102,$BC$102:$BP$102,0))/INDEX(고양시_재차인원!$D$4:$H$35,MATCH("고양시",고양시_재차인원!$B$4:$B$35,0),MATCH($DJ$101,고양시_재차인원!$D$4:$H$4,0))</f>
        <v>3.1570950272848591E-2</v>
      </c>
      <c r="DN109" s="267">
        <f>INDEX($BQ$101:$CD$115,MATCH($CW109,$L$101:$L$115,0),MATCH(DN$102,$BQ$102:$CD$102,0))/INDEX(고양시_재차인원!$D$4:$H$35,MATCH("고양시",고양시_재차인원!$B$4:$B$35,0),MATCH($DN$101,고양시_재차인원!$D$4:$H$4,0))</f>
        <v>1.5035633263077417</v>
      </c>
      <c r="DO109" s="267">
        <f>INDEX($BQ$101:$CD$115,MATCH($CW109,$L$101:$L$115,0),MATCH(DO$102,$BQ$102:$CD$102,0))/INDEX(고양시_재차인원!$K$4:$O$20,MATCH("경기도",고양시_재차인원!$K$4:$K$20,0),MATCH(DO$102,고양시_재차인원!$K$4:$O$4,0))</f>
        <v>1.3991865627940178E-5</v>
      </c>
      <c r="DP109" s="267">
        <f>INDEX($BQ$101:$CD$115,MATCH($CW109,$L$101:$L$115,0),MATCH(DP$102,$BQ$102:$CD$102,0))/INDEX(고양시_재차인원!$K$4:$O$20,MATCH("경기도",고양시_재차인원!$K$4:$K$20,0),MATCH(DP$102,고양시_재차인원!$K$4:$O$4,0))</f>
        <v>3.8897386445673689E-3</v>
      </c>
      <c r="DQ109" s="267">
        <f>INDEX($BQ$101:$CD$115,MATCH($CW109,$L$101:$L$115,0),MATCH(DQ$102,$BQ$102:$CD$102,0))/INDEX(고양시_재차인원!$D$4:$H$35,MATCH("고양시",고양시_재차인원!$B$4:$B$35,0),MATCH($DN$101,고양시_재차인원!$D$4:$H$4,0))</f>
        <v>9.6550313532838175E-2</v>
      </c>
      <c r="DR109" s="270">
        <f t="shared" si="53"/>
        <v>4775.4277262482483</v>
      </c>
      <c r="DS109" s="270">
        <f t="shared" si="48"/>
        <v>4.8205680817390829E-2</v>
      </c>
      <c r="DT109" s="270">
        <f t="shared" si="48"/>
        <v>13.401179267234648</v>
      </c>
      <c r="DU109" s="270">
        <f t="shared" si="48"/>
        <v>306.65089800701065</v>
      </c>
      <c r="DW109" s="278"/>
      <c r="DX109" s="278" t="s">
        <v>301</v>
      </c>
      <c r="DY109" s="281">
        <f t="shared" si="54"/>
        <v>5082.0786242552585</v>
      </c>
      <c r="DZ109" s="281">
        <f t="shared" si="55"/>
        <v>13.449384948052039</v>
      </c>
      <c r="EB109" s="278"/>
      <c r="EC109" s="278" t="s">
        <v>301</v>
      </c>
      <c r="ED109" s="281">
        <f t="shared" si="56"/>
        <v>5082.0786242552585</v>
      </c>
      <c r="EE109" s="281">
        <f t="shared" si="49"/>
        <v>13.449384948052039</v>
      </c>
      <c r="EL109" s="306" t="s">
        <v>12</v>
      </c>
      <c r="EM109" s="306" t="s">
        <v>363</v>
      </c>
      <c r="EN109" s="306">
        <v>10963.124400000001</v>
      </c>
      <c r="EO109" s="306">
        <v>0.16368976107840044</v>
      </c>
      <c r="EP109" s="307">
        <v>849107</v>
      </c>
      <c r="EQ109" s="308">
        <f t="shared" si="57"/>
        <v>30.809456809500904</v>
      </c>
      <c r="ER109" s="308">
        <f t="shared" si="58"/>
        <v>8.1535189694567842E-2</v>
      </c>
      <c r="ET109" s="420" t="s">
        <v>12</v>
      </c>
      <c r="EU109" s="420" t="s">
        <v>363</v>
      </c>
      <c r="EV109" s="420">
        <v>10963.124400000001</v>
      </c>
      <c r="EW109" s="420">
        <v>0.16368976107840044</v>
      </c>
      <c r="EX109" s="421">
        <v>849107</v>
      </c>
      <c r="EY109" s="422">
        <f t="shared" si="59"/>
        <v>29.931387290430131</v>
      </c>
      <c r="EZ109" s="422">
        <f t="shared" si="60"/>
        <v>7.9211436788272666E-2</v>
      </c>
      <c r="FA109">
        <v>0</v>
      </c>
      <c r="FD109" s="306" t="s">
        <v>12</v>
      </c>
      <c r="FE109" s="306" t="s">
        <v>363</v>
      </c>
      <c r="FF109" s="306">
        <v>10963.124400000001</v>
      </c>
      <c r="FG109" s="306">
        <v>0.16368976107840044</v>
      </c>
      <c r="FH109" s="307">
        <v>849107</v>
      </c>
      <c r="FI109" s="308">
        <f t="shared" si="61"/>
        <v>29.931387290430131</v>
      </c>
      <c r="FJ109" s="308">
        <f t="shared" si="50"/>
        <v>7.9211436788272666E-2</v>
      </c>
      <c r="FL109" s="101"/>
      <c r="FM109" s="101"/>
      <c r="FN109" s="101"/>
      <c r="FO109" s="101"/>
      <c r="FP109" s="374"/>
      <c r="FQ109" s="404"/>
      <c r="FR109" s="404"/>
    </row>
    <row r="110" spans="1:174">
      <c r="A110" s="205"/>
      <c r="B110" s="205" t="s">
        <v>302</v>
      </c>
      <c r="C110" s="400">
        <f>$AB68*KTDB_TripDistribution_2045!L$12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18.125659081048699</v>
      </c>
      <c r="D110" s="400">
        <f>$AB68*KTDB_TripDistribution_2045!M$12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140.94754214527853</v>
      </c>
      <c r="E110" s="400">
        <f>$AB68*KTDB_TripDistribution_2045!N$12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6.2475495742047205</v>
      </c>
      <c r="F110" s="400">
        <f>$AB68*KTDB_TripDistribution_2045!O$12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1.6942507319877245E-2</v>
      </c>
      <c r="G110" s="400">
        <f>$AB68*KTDB_TripDistribution_2045!P$12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4.8003770739652028E-2</v>
      </c>
      <c r="H110" s="400">
        <f>$AB68*KTDB_TripDistribution_2045!Q$12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165.38569707859145</v>
      </c>
      <c r="I110" s="56"/>
      <c r="J110" s="56"/>
      <c r="K110" s="206"/>
      <c r="L110" s="206" t="s">
        <v>302</v>
      </c>
      <c r="M110" s="206">
        <f>INDEX($A$102:$H$115,MATCH($L110,$B$102:$B$115,0),MATCH($M$101,$A$102:$H$102,0))*고양시_Modal_split!C$3 * 0.01</f>
        <v>5.0751845426936351E-2</v>
      </c>
      <c r="N110" s="206">
        <f>INDEX($A$102:$H$115,MATCH($L110,$B$102:$B$115,0),MATCH($M$101,$A$102:$H$102,0))*고양시_Modal_split!D$3 * 0.01</f>
        <v>8.5244974658172037</v>
      </c>
      <c r="O110" s="206">
        <f>INDEX($A$102:$H$115,MATCH($L110,$B$102:$B$115,0),MATCH($M$101,$A$102:$H$102,0))*고양시_Modal_split!E$3 * 0.01</f>
        <v>1.031350001711671</v>
      </c>
      <c r="P110" s="206">
        <f>INDEX($A$102:$H$115,MATCH($L110,$B$102:$B$115,0),MATCH($M$101,$A$102:$H$102,0))*고양시_Modal_split!F$3 * 0.01</f>
        <v>1.6621229377321658</v>
      </c>
      <c r="Q110" s="206">
        <f>INDEX($A$102:$H$115,MATCH($L110,$B$102:$B$115,0),MATCH($M$101,$A$102:$H$102,0))*고양시_Modal_split!G$3 * 0.01</f>
        <v>0.16675606354564804</v>
      </c>
      <c r="R110" s="206">
        <f>INDEX($A$102:$H$115,MATCH($L110,$B$102:$B$115,0),MATCH($M$101,$A$102:$H$102,0))*고양시_Modal_split!H$3 * 0.01</f>
        <v>1.8125659081048701E-3</v>
      </c>
      <c r="S110" s="206">
        <f>INDEX($A$102:$H$115,MATCH($L110,$B$102:$B$115,0),MATCH($M$101,$A$102:$H$102,0))*고양시_Modal_split!I$3 * 0.01</f>
        <v>0.50389332245315377</v>
      </c>
      <c r="T110" s="206">
        <f>INDEX($A$102:$H$115,MATCH($L110,$B$102:$B$115,0),MATCH($M$101,$A$102:$H$102,0))*고양시_Modal_split!J$3 * 0.01</f>
        <v>5.5174506242712242</v>
      </c>
      <c r="U110" s="206">
        <f>INDEX($A$102:$H$115,MATCH($L110,$B$102:$B$115,0),MATCH($M$101,$A$102:$H$102,0))*고양시_Modal_split!K$3 * 0.01</f>
        <v>2.7188488621573047E-2</v>
      </c>
      <c r="V110" s="206">
        <f>INDEX($A$102:$H$115,MATCH($L110,$B$102:$B$115,0),MATCH($M$101,$A$102:$H$102,0))*고양시_Modal_split!L$3 * 0.01</f>
        <v>0.54739490424767068</v>
      </c>
      <c r="W110" s="206">
        <f>INDEX($A$102:$H$115,MATCH($L110,$B$102:$B$115,0),MATCH($M$101,$A$102:$H$102,0))*고양시_Modal_split!M$3 * 0.01</f>
        <v>4.1689015886412009E-2</v>
      </c>
      <c r="X110" s="206">
        <f>INDEX($A$102:$H$115,MATCH($L110,$B$102:$B$115,0),MATCH($M$101,$A$102:$H$102,0))*고양시_Modal_split!N$3 * 0.01</f>
        <v>1.8125659081048701E-2</v>
      </c>
      <c r="Y110" s="206">
        <f>INDEX($A$102:$H$115,MATCH($L110,$B$102:$B$115,0),MATCH($M$101,$A$102:$H$102,0))*고양시_Modal_split!O$3 * 0.01</f>
        <v>3.262618634588766E-2</v>
      </c>
      <c r="Z110" s="209">
        <f>INDEX($A$102:$H$115,MATCH($L110,$B$102:$B$115,0),MATCH($M$101,$A$102:$H$102,0))*고양시_Modal_split!P$3 * 0.01</f>
        <v>18.125659081048699</v>
      </c>
      <c r="AA110" s="207">
        <f>INDEX($A$102:$H$115,MATCH($L110,$B$102:$B$115,0),MATCH($AA$101,$A$102:$H$102,0))*고양시_Modal_split!C$3 * 0.01</f>
        <v>0.39465311800677988</v>
      </c>
      <c r="AB110" s="207">
        <f>INDEX($A$102:$H$115,MATCH($L110,$B$102:$B$115,0),MATCH($AA$101,$A$102:$H$102,0))*고양시_Modal_split!D$3 * 0.01</f>
        <v>66.287629070924496</v>
      </c>
      <c r="AC110" s="207">
        <f>INDEX($A$102:$H$115,MATCH($L110,$B$102:$B$115,0),MATCH($AA$101,$A$102:$H$102,0))*고양시_Modal_split!E$3 * 0.01</f>
        <v>8.0199151480663478</v>
      </c>
      <c r="AD110" s="207">
        <f>INDEX($A$102:$H$115,MATCH($L110,$B$102:$B$115,0),MATCH($AA$101,$A$102:$H$102,0))*고양시_Modal_split!F$3 * 0.01</f>
        <v>12.924889614722042</v>
      </c>
      <c r="AE110" s="207">
        <f>INDEX($A$102:$H$115,MATCH($L110,$B$102:$B$115,0),MATCH($AA$101,$A$102:$H$102,0))*고양시_Modal_split!G$3 * 0.01</f>
        <v>1.2967173877365625</v>
      </c>
      <c r="AF110" s="207">
        <f>INDEX($A$102:$H$115,MATCH($L110,$B$102:$B$115,0),MATCH($AA$101,$A$102:$H$102,0))*고양시_Modal_split!H$3 * 0.01</f>
        <v>1.4094754214527855E-2</v>
      </c>
      <c r="AG110" s="207">
        <f>INDEX($A$102:$H$115,MATCH($L110,$B$102:$B$115,0),MATCH($AA$101,$A$102:$H$102,0))*고양시_Modal_split!I$3 * 0.01</f>
        <v>3.9183416716387427</v>
      </c>
      <c r="AH110" s="207">
        <f>INDEX($A$102:$H$115,MATCH($L110,$B$102:$B$115,0),MATCH($AA$101,$A$102:$H$102,0))*고양시_Modal_split!J$3 * 0.01</f>
        <v>42.904431829022791</v>
      </c>
      <c r="AI110" s="207">
        <f>INDEX($A$102:$H$115,MATCH($L110,$B$102:$B$115,0),MATCH($AA$101,$A$102:$H$102,0))*고양시_Modal_split!K$3 * 0.01</f>
        <v>0.21142131321791779</v>
      </c>
      <c r="AJ110" s="207">
        <f>INDEX($A$102:$H$115,MATCH($L110,$B$102:$B$115,0),MATCH($AA$101,$A$102:$H$102,0))*고양시_Modal_split!L$3 * 0.01</f>
        <v>4.2566157727874119</v>
      </c>
      <c r="AK110" s="207">
        <f>INDEX($A$102:$H$115,MATCH($L110,$B$102:$B$115,0),MATCH($AA$101,$A$102:$H$102,0))*고양시_Modal_split!M$3 * 0.01</f>
        <v>0.32417934693414063</v>
      </c>
      <c r="AL110" s="207">
        <f>INDEX($A$102:$H$115,MATCH($L110,$B$102:$B$115,0),MATCH($AA$101,$A$102:$H$102,0))*고양시_Modal_split!N$3 * 0.01</f>
        <v>0.14094754214527855</v>
      </c>
      <c r="AM110" s="207">
        <f>INDEX($A$102:$H$115,MATCH($L110,$B$102:$B$115,0),MATCH($AA$101,$A$102:$H$102,0))*고양시_Modal_split!O$3 * 0.01</f>
        <v>0.25370557586150133</v>
      </c>
      <c r="AN110" s="207">
        <f>INDEX($A$102:$H$115,MATCH($L110,$B$102:$B$115,0),MATCH($AA$101,$A$102:$H$102,0))*고양시_Modal_split!P$3 * 0.01</f>
        <v>140.94754214527853</v>
      </c>
      <c r="AO110" s="303">
        <f>INDEX($A$102:$H$115,MATCH($L110,$B$102:$B$115,0),MATCH($AO$101,$A$102:$H$102,0))*고양시_Modal_split!C$3 * 0.01</f>
        <v>1.7493138807773218E-2</v>
      </c>
      <c r="AP110" s="303">
        <f>INDEX($A$102:$H$115,MATCH($L110,$B$102:$B$115,0),MATCH($AO$101,$A$102:$H$102,0))*고양시_Modal_split!D$3 * 0.01</f>
        <v>2.9382225647484801</v>
      </c>
      <c r="AQ110" s="303">
        <f>INDEX($A$102:$H$115,MATCH($L110,$B$102:$B$115,0),MATCH($AO$101,$A$102:$H$102,0))*고양시_Modal_split!E$3 * 0.01</f>
        <v>0.35548557077224857</v>
      </c>
      <c r="AR110" s="303">
        <f>INDEX($A$102:$H$115,MATCH($L110,$B$102:$B$115,0),MATCH($AO$101,$A$102:$H$102,0))*고양시_Modal_split!F$3 * 0.01</f>
        <v>0.57290029595457281</v>
      </c>
      <c r="AS110" s="303">
        <f>INDEX($A$102:$H$115,MATCH($L110,$B$102:$B$115,0),MATCH($AO$101,$A$102:$H$102,0))*고양시_Modal_split!G$3 * 0.01</f>
        <v>5.7477456082683426E-2</v>
      </c>
      <c r="AT110" s="303">
        <f>INDEX($A$102:$H$115,MATCH($L110,$B$102:$B$115,0),MATCH($AO$101,$A$102:$H$102,0))*고양시_Modal_split!H$3 * 0.01</f>
        <v>6.2475495742047205E-4</v>
      </c>
      <c r="AU110" s="303">
        <f>INDEX($A$102:$H$115,MATCH($L110,$B$102:$B$115,0),MATCH($AO$101,$A$102:$H$102,0))*고양시_Modal_split!I$3 * 0.01</f>
        <v>0.17368187816289124</v>
      </c>
      <c r="AV110" s="303">
        <f>INDEX($A$102:$H$115,MATCH($L110,$B$102:$B$115,0),MATCH($AO$101,$A$102:$H$102,0))*고양시_Modal_split!J$3 * 0.01</f>
        <v>1.9017540903879169</v>
      </c>
      <c r="AW110" s="303">
        <f>INDEX($A$102:$H$115,MATCH($L110,$B$102:$B$115,0),MATCH($AO$101,$A$102:$H$102,0))*고양시_Modal_split!K$3 * 0.01</f>
        <v>9.3713243613070801E-3</v>
      </c>
      <c r="AX110" s="303">
        <f>INDEX($A$102:$H$115,MATCH($L110,$B$102:$B$115,0),MATCH($AO$101,$A$102:$H$102,0))*고양시_Modal_split!L$3 * 0.01</f>
        <v>0.18867599714098254</v>
      </c>
      <c r="AY110" s="303">
        <f>INDEX($A$102:$H$115,MATCH($L110,$B$102:$B$115,0),MATCH($AO$101,$A$102:$H$102,0))*고양시_Modal_split!M$3 * 0.01</f>
        <v>1.4369364020670856E-2</v>
      </c>
      <c r="AZ110" s="303">
        <f>INDEX($A$102:$H$115,MATCH($L110,$B$102:$B$115,0),MATCH($AO$101,$A$102:$H$102,0))*고양시_Modal_split!N$3 * 0.01</f>
        <v>6.2475495742047209E-3</v>
      </c>
      <c r="BA110" s="207">
        <f>INDEX($A$102:$H$115,MATCH($L110,$B$102:$B$115,0),MATCH($AO$101,$A$102:$H$102,0))*고양시_Modal_split!O$3 * 0.01</f>
        <v>1.1245589233568496E-2</v>
      </c>
      <c r="BB110" s="207">
        <f>INDEX($A$102:$H$115,MATCH($L110,$B$102:$B$115,0),MATCH($AO$101,$A$102:$H$102,0))*고양시_Modal_split!P$3 * 0.01</f>
        <v>6.2475495742047205</v>
      </c>
      <c r="BC110" s="207">
        <f>INDEX($A$102:$H$115,MATCH($L110,$B$102:$B$115,0),MATCH($BC$101,$A$102:$H$102,0))*고양시_Modal_split!C$3 * 0.01</f>
        <v>4.7439020495656283E-5</v>
      </c>
      <c r="BD110" s="207">
        <f>INDEX($A$102:$H$115,MATCH($L110,$B$102:$B$115,0),MATCH($BC$101,$A$102:$H$102,0))*고양시_Modal_split!D$3 * 0.01</f>
        <v>7.9680611925382686E-3</v>
      </c>
      <c r="BE110" s="207">
        <f>INDEX($A$102:$H$115,MATCH($L110,$B$102:$B$115,0),MATCH($BC$101,$A$102:$H$102,0))*고양시_Modal_split!E$3 * 0.01</f>
        <v>9.6402866650101521E-4</v>
      </c>
      <c r="BF110" s="207">
        <f>INDEX($A$102:$H$115,MATCH($L110,$B$102:$B$115,0),MATCH($BC$101,$A$102:$H$102,0))*고양시_Modal_split!F$3 * 0.01</f>
        <v>1.5536279212327434E-3</v>
      </c>
      <c r="BG110" s="207">
        <f>INDEX($A$102:$H$115,MATCH($L110,$B$102:$B$115,0),MATCH($BC$101,$A$102:$H$102,0))*고양시_Modal_split!G$3 * 0.01</f>
        <v>1.5587106734287065E-4</v>
      </c>
      <c r="BH110" s="207">
        <f>INDEX($A$102:$H$115,MATCH($L110,$B$102:$B$115,0),MATCH($BC$101,$A$102:$H$102,0))*고양시_Modal_split!H$3 * 0.01</f>
        <v>1.6942507319877246E-6</v>
      </c>
      <c r="BI110" s="207">
        <f>INDEX($A$102:$H$115,MATCH($L110,$B$102:$B$115,0),MATCH($BC$101,$A$102:$H$102,0))*고양시_Modal_split!I$3 * 0.01</f>
        <v>4.710017034925874E-4</v>
      </c>
      <c r="BJ110" s="207">
        <f>INDEX($A$102:$H$115,MATCH($L110,$B$102:$B$115,0),MATCH($BC$101,$A$102:$H$102,0))*고양시_Modal_split!J$3 * 0.01</f>
        <v>5.1572992281706332E-3</v>
      </c>
      <c r="BK110" s="207">
        <f>INDEX($A$102:$H$115,MATCH($L110,$B$102:$B$115,0),MATCH($BC$101,$A$102:$H$102,0))*고양시_Modal_split!K$3 * 0.01</f>
        <v>2.5413760979815866E-5</v>
      </c>
      <c r="BL110" s="207">
        <f>INDEX($A$102:$H$115,MATCH($L110,$B$102:$B$115,0),MATCH($BC$101,$A$102:$H$102,0))*고양시_Modal_split!L$3 * 0.01</f>
        <v>5.1166372106029284E-4</v>
      </c>
      <c r="BM110" s="207">
        <f>INDEX($A$102:$H$115,MATCH($L110,$B$102:$B$115,0),MATCH($BC$101,$A$102:$H$102,0))*고양시_Modal_split!M$3 * 0.01</f>
        <v>3.8967766835717661E-5</v>
      </c>
      <c r="BN110" s="207">
        <f>INDEX($A$102:$H$115,MATCH($L110,$B$102:$B$115,0),MATCH($BC$101,$A$102:$H$102,0))*고양시_Modal_split!N$3 * 0.01</f>
        <v>1.6942507319877247E-5</v>
      </c>
      <c r="BO110" s="207">
        <f>INDEX($A$102:$H$115,MATCH($L110,$B$102:$B$115,0),MATCH($BC$101,$A$102:$H$102,0))*고양시_Modal_split!O$3 * 0.01</f>
        <v>3.0496513175779043E-5</v>
      </c>
      <c r="BP110" s="207">
        <f>INDEX($A$102:$H$115,MATCH($L110,$B$102:$B$115,0),MATCH($BC$101,$A$102:$H$102,0))*고양시_Modal_split!P$3 * 0.01</f>
        <v>1.6942507319877245E-2</v>
      </c>
      <c r="BQ110" s="207">
        <f>INDEX($A$102:$H$115,MATCH($L110,$B$102:$B$115,0),MATCH($BQ$101,$A$102:$H$102,0))*고양시_Modal_split!C$3 * 0.01</f>
        <v>1.3441055807102565E-4</v>
      </c>
      <c r="BR110" s="207">
        <f>INDEX($A$102:$H$115,MATCH($L110,$B$102:$B$115,0),MATCH($BQ$101,$A$102:$H$102,0))*고양시_Modal_split!D$3 * 0.01</f>
        <v>2.2576173378858352E-2</v>
      </c>
      <c r="BS110" s="207">
        <f>INDEX($A$102:$H$115,MATCH($L110,$B$102:$B$115,0),MATCH($BQ$101,$A$102:$H$102,0))*고양시_Modal_split!E$3 * 0.01</f>
        <v>2.7314145550862002E-3</v>
      </c>
      <c r="BT110" s="207">
        <f>INDEX($A$102:$H$115,MATCH($L110,$B$102:$B$115,0),MATCH($BQ$101,$A$102:$H$102,0))*고양시_Modal_split!F$3 * 0.01</f>
        <v>4.4019457768260913E-3</v>
      </c>
      <c r="BU110" s="207">
        <f>INDEX($A$102:$H$115,MATCH($L110,$B$102:$B$115,0),MATCH($BQ$101,$A$102:$H$102,0))*고양시_Modal_split!G$3 * 0.01</f>
        <v>4.4163469080479861E-4</v>
      </c>
      <c r="BV110" s="207">
        <f>INDEX($A$102:$H$115,MATCH($L110,$B$102:$B$115,0),MATCH($BQ$101,$A$102:$H$102,0))*고양시_Modal_split!H$3 * 0.01</f>
        <v>4.8003770739652033E-6</v>
      </c>
      <c r="BW110" s="207">
        <f>INDEX($A$102:$H$115,MATCH($L110,$B$102:$B$115,0),MATCH($BQ$101,$A$102:$H$102,0))*고양시_Modal_split!I$3 * 0.01</f>
        <v>1.3345048265623264E-3</v>
      </c>
      <c r="BX110" s="207">
        <f>INDEX($A$102:$H$115,MATCH($L110,$B$102:$B$115,0),MATCH($BQ$101,$A$102:$H$102,0))*고양시_Modal_split!J$3 * 0.01</f>
        <v>1.4612347813150078E-2</v>
      </c>
      <c r="BY110" s="207">
        <f>INDEX($A$102:$H$115,MATCH($L110,$B$102:$B$115,0),MATCH($BQ$101,$A$102:$H$102,0))*고양시_Modal_split!K$3 * 0.01</f>
        <v>7.200565610947804E-5</v>
      </c>
      <c r="BZ110" s="207">
        <f>INDEX($A$102:$H$115,MATCH($L110,$B$102:$B$115,0),MATCH($BQ$101,$A$102:$H$102,0))*고양시_Modal_split!L$3 * 0.01</f>
        <v>1.4497138763374911E-3</v>
      </c>
      <c r="CA110" s="207">
        <f>INDEX($A$102:$H$115,MATCH($L110,$B$102:$B$115,0),MATCH($BQ$101,$A$102:$H$102,0))*고양시_Modal_split!M$3 * 0.01</f>
        <v>1.1040867270119965E-4</v>
      </c>
      <c r="CB110" s="207">
        <f>INDEX($A$102:$H$115,MATCH($L110,$B$102:$B$115,0),MATCH($BQ$101,$A$102:$H$102,0))*고양시_Modal_split!N$3 * 0.01</f>
        <v>4.8003770739652033E-5</v>
      </c>
      <c r="CC110" s="207">
        <f>INDEX($A$102:$H$115,MATCH($L110,$B$102:$B$115,0),MATCH($BQ$101,$A$102:$H$102,0))*고양시_Modal_split!O$3 * 0.01</f>
        <v>8.640678733137364E-5</v>
      </c>
      <c r="CD110" s="207">
        <f>INDEX($A$102:$H$115,MATCH($L110,$B$102:$B$115,0),MATCH($BQ$101,$A$102:$H$102,0))*고양시_Modal_split!P$3 * 0.01</f>
        <v>4.8003770739652028E-2</v>
      </c>
      <c r="CE110" s="304">
        <f t="shared" si="51"/>
        <v>0.46307995182005607</v>
      </c>
      <c r="CF110" s="304">
        <f t="shared" si="47"/>
        <v>77.780893336061581</v>
      </c>
      <c r="CG110" s="304">
        <f t="shared" si="47"/>
        <v>9.4104461637718551</v>
      </c>
      <c r="CH110" s="304">
        <f t="shared" si="47"/>
        <v>15.16586842210684</v>
      </c>
      <c r="CI110" s="304">
        <f t="shared" si="47"/>
        <v>1.5215484131230415</v>
      </c>
      <c r="CJ110" s="304">
        <f t="shared" si="47"/>
        <v>1.6538569707859149E-2</v>
      </c>
      <c r="CK110" s="304">
        <f t="shared" si="47"/>
        <v>4.5977223787848427</v>
      </c>
      <c r="CL110" s="304">
        <f t="shared" si="47"/>
        <v>50.343406190723258</v>
      </c>
      <c r="CM110" s="304">
        <f t="shared" si="47"/>
        <v>0.24807854561788723</v>
      </c>
      <c r="CN110" s="304">
        <f t="shared" si="47"/>
        <v>4.9946480517734626</v>
      </c>
      <c r="CO110" s="304">
        <f t="shared" si="47"/>
        <v>0.38038710328076036</v>
      </c>
      <c r="CP110" s="304">
        <f t="shared" si="47"/>
        <v>0.16538569707859152</v>
      </c>
      <c r="CQ110" s="304">
        <f t="shared" si="47"/>
        <v>0.2976942547414646</v>
      </c>
      <c r="CR110" s="304">
        <f t="shared" si="47"/>
        <v>165.38569707859148</v>
      </c>
      <c r="CS110" s="305">
        <f t="shared" si="52"/>
        <v>0</v>
      </c>
      <c r="CV110" s="267"/>
      <c r="CW110" s="267" t="s">
        <v>302</v>
      </c>
      <c r="CX110" s="267">
        <f>INDEX($M$101:$Z$115,MATCH($CW110,$L$101:$L$115,0),MATCH(CX$102,$M$102:$Z$102,0))/INDEX(고양시_재차인원!$D$4:$H$35,MATCH("고양시",고양시_재차인원!$B$4:$B$35,0),MATCH($CX$101,고양시_재차인원!$D$4:$H$4,0))</f>
        <v>7.6111584516225026</v>
      </c>
      <c r="CY110" s="267">
        <f>INDEX($M$101:$Z$115,MATCH($CW110,$L$101:$L$115,0),MATCH(CY$102,$M$102:$Z$102,0))/INDEX(고양시_재차인원!$K$4:$O$20,MATCH("경기도",고양시_재차인원!$K$4:$K$20,0),MATCH(CY$102,고양시_재차인원!$K$4:$O$4,0))</f>
        <v>6.2958176731673149E-5</v>
      </c>
      <c r="CZ110" s="267">
        <f>INDEX($M$101:$Z$115,MATCH($CW110,$L$101:$L$115,0),MATCH(CZ$102,$M$102:$Z$102,0))/INDEX(고양시_재차인원!$K$4:$O$20,MATCH("경기도",고양시_재차인원!$K$4:$K$20,0),MATCH(CZ$102,고양시_재차인원!$K$4:$O$4,0))</f>
        <v>1.7502373131405131E-2</v>
      </c>
      <c r="DA110" s="267">
        <f>INDEX($M$101:$Z$115,MATCH($CW110,$L$101:$L$115,0),MATCH(DA$102,$M$102:$Z$102,0))/INDEX(고양시_재차인원!$D$4:$H$35,MATCH("고양시",고양시_재차인원!$B$4:$B$35,0),MATCH($CX$101,고양시_재차인원!$D$4:$H$4,0))</f>
        <v>0.48874545022113447</v>
      </c>
      <c r="DB110" s="267">
        <f>INDEX($AA$101:$AN$115,MATCH($CW110,$L$101:$L$115,0),MATCH(DB$102,$AA$102:$AN$102,0))/INDEX(고양시_재차인원!$D$4:$H$35,MATCH("고양시",고양시_재차인원!$B$4:$B$35,0),MATCH($DB$101,고양시_재차인원!$D$4:$H$4,0))</f>
        <v>47.012502887180496</v>
      </c>
      <c r="DC110" s="267">
        <f>INDEX($AA$101:$AN$115,MATCH($CW110,$L$101:$L$115,0),MATCH(DC$102,$AA$102:$AN$102,0))/INDEX(고양시_재차인원!$K$4:$O$20,MATCH("경기도",고양시_재차인원!$K$4:$K$20,0),MATCH(DC$102,고양시_재차인원!$K$4:$O$4,0))</f>
        <v>4.8957117799679943E-4</v>
      </c>
      <c r="DD110" s="267">
        <f>INDEX($AA$101:$AN$115,MATCH($CW110,$L$101:$L$115,0),MATCH(DD$102,$AA$102:$AN$102,0))/INDEX(고양시_재차인원!$K$4:$O$20,MATCH("경기도",고양시_재차인원!$K$4:$K$20,0),MATCH(DD$102,고양시_재차인원!$K$4:$O$4,0))</f>
        <v>0.13610078748311019</v>
      </c>
      <c r="DE110" s="267">
        <f>INDEX($AA$101:$AN$115,MATCH($CW110,$L$101:$L$115,0),MATCH(DE$102,$AA$102:$AN$102,0))/INDEX(고양시_재차인원!$D$4:$H$35,MATCH("고양시",고양시_재차인원!$B$4:$B$35,0),MATCH($DB$101,고양시_재차인원!$D$4:$H$4,0))</f>
        <v>3.0188764346010015</v>
      </c>
      <c r="DF110" s="267">
        <f>INDEX($AO$101:$BB$115,MATCH($CW110,$L$101:$L$115,0),MATCH(DF$102,$AO$102:$BB$102,0))/INDEX(고양시_재차인원!$D$4:$H$35,MATCH("고양시",고양시_재차인원!$B$4:$B$35,0),MATCH($DF$101,고양시_재차인원!$D$4:$H$4,0))</f>
        <v>2.2601712036526771</v>
      </c>
      <c r="DG110" s="267">
        <f>INDEX($AO$101:$BB$115,MATCH($CW110,$L$101:$L$115,0),MATCH(DG$102,$AO$102:$BB$102,0))/INDEX(고양시_재차인원!$K$4:$O$20,MATCH("경기도",고양시_재차인원!$K$4:$K$20,0),MATCH(DG$102,고양시_재차인원!$K$4:$O$4,0))</f>
        <v>2.1700415332423482E-5</v>
      </c>
      <c r="DH110" s="267">
        <f>INDEX($AO$101:$BB$115,MATCH($CW110,$L$101:$L$115,0),MATCH(DH$102,$AO$102:$BB$102,0))/INDEX(고양시_재차인원!$K$4:$O$20,MATCH("경기도",고양시_재차인원!$K$4:$K$20,0),MATCH(DH$102,고양시_재차인원!$K$4:$O$4,0))</f>
        <v>6.032715462413729E-3</v>
      </c>
      <c r="DI110" s="267">
        <f>INDEX($AO$101:$BB$115,MATCH($CW110,$L$101:$L$115,0),MATCH(DI$102,$AO$102:$BB$102,0))/INDEX(고양시_재차인원!$D$4:$H$35,MATCH("고양시",고양시_재차인원!$B$4:$B$35,0),MATCH($DF$101,고양시_재차인원!$D$4:$H$4,0))</f>
        <v>0.14513538241614041</v>
      </c>
      <c r="DJ110" s="267">
        <f>INDEX($BC$101:$BP$115,MATCH($CW110,$L$101:$L$115,0),MATCH(DJ$102,$BC$102:$BP$102,0))/INDEX(고양시_재차인원!$D$4:$H$35,MATCH("고양시",고양시_재차인원!$B$4:$B$35,0),MATCH($DJ$101,고양시_재차인원!$D$4:$H$4,0))</f>
        <v>5.8588685239251972E-3</v>
      </c>
      <c r="DK110" s="267">
        <f>INDEX($BC$101:$BP$115,MATCH($CW110,$L$101:$L$115,0),MATCH(DK$102,$BC$102:$BP$102,0))/INDEX(고양시_재차인원!$K$4:$O$20,MATCH("경기도",고양시_재차인원!$K$4:$K$20,0),MATCH(DK$102,고양시_재차인원!$K$4:$O$4,0))</f>
        <v>5.8848583952335E-8</v>
      </c>
      <c r="DL110" s="267">
        <f>INDEX($BC$101:$BP$115,MATCH($CW110,$L$101:$L$115,0),MATCH(DL$102,$BC$102:$BP$102,0))/INDEX(고양시_재차인원!$K$4:$O$20,MATCH("경기도",고양시_재차인원!$K$4:$K$20,0),MATCH(DL$102,고양시_재차인원!$K$4:$O$4,0))</f>
        <v>1.6359906338749128E-5</v>
      </c>
      <c r="DM110" s="267">
        <f>INDEX($BC$101:$BP$115,MATCH($CW110,$L$101:$L$115,0),MATCH(DM$102,$BC$102:$BP$102,0))/INDEX(고양시_재차인원!$D$4:$H$35,MATCH("고양시",고양시_재차인원!$B$4:$B$35,0),MATCH($DJ$101,고양시_재차인원!$D$4:$H$4,0))</f>
        <v>3.7622332430903884E-4</v>
      </c>
      <c r="DN110" s="267">
        <f>INDEX($BQ$101:$CD$115,MATCH($CW110,$L$101:$L$115,0),MATCH(DN$102,$BQ$102:$CD$102,0))/INDEX(고양시_재차인원!$D$4:$H$35,MATCH("고양시",고양시_재차인원!$B$4:$B$35,0),MATCH($DN$101,고양시_재차인원!$D$4:$H$4,0))</f>
        <v>1.7917597919728852E-2</v>
      </c>
      <c r="DO110" s="267">
        <f>INDEX($BQ$101:$CD$115,MATCH($CW110,$L$101:$L$115,0),MATCH(DO$102,$BQ$102:$CD$102,0))/INDEX(고양시_재차인원!$K$4:$O$20,MATCH("경기도",고양시_재차인원!$K$4:$K$20,0),MATCH(DO$102,고양시_재차인원!$K$4:$O$4,0))</f>
        <v>1.6673765453161528E-7</v>
      </c>
      <c r="DP110" s="267">
        <f>INDEX($BQ$101:$CD$115,MATCH($CW110,$L$101:$L$115,0),MATCH(DP$102,$BQ$102:$CD$102,0))/INDEX(고양시_재차인원!$K$4:$O$20,MATCH("경기도",고양시_재차인원!$K$4:$K$20,0),MATCH(DP$102,고양시_재차인원!$K$4:$O$4,0))</f>
        <v>4.6353067959789043E-5</v>
      </c>
      <c r="DQ110" s="267">
        <f>INDEX($BQ$101:$CD$115,MATCH($CW110,$L$101:$L$115,0),MATCH(DQ$102,$BQ$102:$CD$102,0))/INDEX(고양시_재차인원!$D$4:$H$35,MATCH("고양시",고양시_재차인원!$B$4:$B$35,0),MATCH($DN$101,고양시_재차인원!$D$4:$H$4,0))</f>
        <v>1.1505665685218184E-3</v>
      </c>
      <c r="DR110" s="270">
        <f t="shared" si="53"/>
        <v>56.907609008899321</v>
      </c>
      <c r="DS110" s="270">
        <f t="shared" si="48"/>
        <v>5.7445535629937995E-4</v>
      </c>
      <c r="DT110" s="270">
        <f t="shared" si="48"/>
        <v>0.15969858905122758</v>
      </c>
      <c r="DU110" s="270">
        <f t="shared" si="48"/>
        <v>3.654284057131107</v>
      </c>
      <c r="DW110" s="278"/>
      <c r="DX110" s="278" t="s">
        <v>302</v>
      </c>
      <c r="DY110" s="281">
        <f t="shared" si="54"/>
        <v>60.561893066030429</v>
      </c>
      <c r="DZ110" s="281">
        <f t="shared" si="55"/>
        <v>0.16027304440752696</v>
      </c>
      <c r="EB110" s="278"/>
      <c r="EC110" s="278" t="s">
        <v>302</v>
      </c>
      <c r="ED110" s="281">
        <f t="shared" si="56"/>
        <v>60.561893066030429</v>
      </c>
      <c r="EE110" s="281">
        <f t="shared" si="49"/>
        <v>0.16027304440752696</v>
      </c>
      <c r="EL110" s="306" t="s">
        <v>667</v>
      </c>
      <c r="EM110" s="306" t="s">
        <v>568</v>
      </c>
      <c r="EN110" s="306">
        <v>26312.316800000001</v>
      </c>
      <c r="EO110" s="306">
        <v>0.1416840985854132</v>
      </c>
      <c r="EP110" s="307">
        <v>849108</v>
      </c>
      <c r="EQ110" s="308">
        <f t="shared" si="57"/>
        <v>580.75789370480152</v>
      </c>
      <c r="ER110" s="308">
        <f t="shared" si="58"/>
        <v>1.5369373540930575</v>
      </c>
      <c r="ET110" s="420" t="s">
        <v>667</v>
      </c>
      <c r="EU110" s="420" t="s">
        <v>568</v>
      </c>
      <c r="EV110" s="420">
        <v>26312.316800000001</v>
      </c>
      <c r="EW110" s="420">
        <v>0.1416840985854132</v>
      </c>
      <c r="EX110" s="421">
        <v>849108</v>
      </c>
      <c r="EY110" s="422">
        <f t="shared" si="59"/>
        <v>564.20629373421468</v>
      </c>
      <c r="EZ110" s="422">
        <f t="shared" si="60"/>
        <v>1.4931346395014053</v>
      </c>
      <c r="FA110">
        <v>0</v>
      </c>
      <c r="FD110" s="306" t="s">
        <v>667</v>
      </c>
      <c r="FE110" s="306" t="s">
        <v>568</v>
      </c>
      <c r="FF110" s="306">
        <v>26312.316800000001</v>
      </c>
      <c r="FG110" s="306">
        <v>0.1416840985854132</v>
      </c>
      <c r="FH110" s="307">
        <v>849108</v>
      </c>
      <c r="FI110" s="308">
        <f t="shared" si="61"/>
        <v>564.20629373421468</v>
      </c>
      <c r="FJ110" s="308">
        <f t="shared" si="50"/>
        <v>1.4931346395014053</v>
      </c>
      <c r="FL110" s="101"/>
      <c r="FM110" s="101"/>
      <c r="FN110" s="101"/>
      <c r="FO110" s="101"/>
      <c r="FP110" s="374"/>
      <c r="FQ110" s="404"/>
      <c r="FR110" s="404"/>
    </row>
    <row r="111" spans="1:174">
      <c r="A111" s="205"/>
      <c r="B111" s="205" t="s">
        <v>303</v>
      </c>
      <c r="C111" s="400">
        <f>$AB69*KTDB_TripDistribution_2045!L$12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32.076603679873358</v>
      </c>
      <c r="D111" s="400">
        <f>$AB69*KTDB_TripDistribution_2045!M$12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249.43194776146956</v>
      </c>
      <c r="E111" s="400">
        <f>$AB69*KTDB_TripDistribution_2045!N$12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11.056159159015349</v>
      </c>
      <c r="F111" s="400">
        <f>$AB69*KTDB_TripDistribution_2045!O$12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2.9982804499024743E-2</v>
      </c>
      <c r="G111" s="400">
        <f>$AB69*KTDB_TripDistribution_2045!P$12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8.4951279413903152E-2</v>
      </c>
      <c r="H111" s="400">
        <f>$AB69*KTDB_TripDistribution_2045!Q$12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292.67964468427124</v>
      </c>
      <c r="I111" s="56"/>
      <c r="J111" s="56"/>
      <c r="K111" s="206"/>
      <c r="L111" s="206" t="s">
        <v>303</v>
      </c>
      <c r="M111" s="206">
        <f>INDEX($A$102:$H$115,MATCH($L111,$B$102:$B$115,0),MATCH($M$101,$A$102:$H$102,0))*고양시_Modal_split!C$3 * 0.01</f>
        <v>8.9814490303645397E-2</v>
      </c>
      <c r="N111" s="206">
        <f>INDEX($A$102:$H$115,MATCH($L111,$B$102:$B$115,0),MATCH($M$101,$A$102:$H$102,0))*고양시_Modal_split!D$3 * 0.01</f>
        <v>15.085626710644441</v>
      </c>
      <c r="O111" s="206">
        <f>INDEX($A$102:$H$115,MATCH($L111,$B$102:$B$115,0),MATCH($M$101,$A$102:$H$102,0))*고양시_Modal_split!E$3 * 0.01</f>
        <v>1.8251587493847938</v>
      </c>
      <c r="P111" s="206">
        <f>INDEX($A$102:$H$115,MATCH($L111,$B$102:$B$115,0),MATCH($M$101,$A$102:$H$102,0))*고양시_Modal_split!F$3 * 0.01</f>
        <v>2.9414245574443867</v>
      </c>
      <c r="Q111" s="206">
        <f>INDEX($A$102:$H$115,MATCH($L111,$B$102:$B$115,0),MATCH($M$101,$A$102:$H$102,0))*고양시_Modal_split!G$3 * 0.01</f>
        <v>0.29510475385483487</v>
      </c>
      <c r="R111" s="206">
        <f>INDEX($A$102:$H$115,MATCH($L111,$B$102:$B$115,0),MATCH($M$101,$A$102:$H$102,0))*고양시_Modal_split!H$3 * 0.01</f>
        <v>3.2076603679873361E-3</v>
      </c>
      <c r="S111" s="206">
        <f>INDEX($A$102:$H$115,MATCH($L111,$B$102:$B$115,0),MATCH($M$101,$A$102:$H$102,0))*고양시_Modal_split!I$3 * 0.01</f>
        <v>0.89172958230047927</v>
      </c>
      <c r="T111" s="206">
        <f>INDEX($A$102:$H$115,MATCH($L111,$B$102:$B$115,0),MATCH($M$101,$A$102:$H$102,0))*고양시_Modal_split!J$3 * 0.01</f>
        <v>9.7641181601534512</v>
      </c>
      <c r="U111" s="206">
        <f>INDEX($A$102:$H$115,MATCH($L111,$B$102:$B$115,0),MATCH($M$101,$A$102:$H$102,0))*고양시_Modal_split!K$3 * 0.01</f>
        <v>4.8114905519810035E-2</v>
      </c>
      <c r="V111" s="206">
        <f>INDEX($A$102:$H$115,MATCH($L111,$B$102:$B$115,0),MATCH($M$101,$A$102:$H$102,0))*고양시_Modal_split!L$3 * 0.01</f>
        <v>0.96871343113217556</v>
      </c>
      <c r="W111" s="206">
        <f>INDEX($A$102:$H$115,MATCH($L111,$B$102:$B$115,0),MATCH($M$101,$A$102:$H$102,0))*고양시_Modal_split!M$3 * 0.01</f>
        <v>7.3776188463708717E-2</v>
      </c>
      <c r="X111" s="206">
        <f>INDEX($A$102:$H$115,MATCH($L111,$B$102:$B$115,0),MATCH($M$101,$A$102:$H$102,0))*고양시_Modal_split!N$3 * 0.01</f>
        <v>3.2076603679873361E-2</v>
      </c>
      <c r="Y111" s="206">
        <f>INDEX($A$102:$H$115,MATCH($L111,$B$102:$B$115,0),MATCH($M$101,$A$102:$H$102,0))*고양시_Modal_split!O$3 * 0.01</f>
        <v>5.7737886623772043E-2</v>
      </c>
      <c r="Z111" s="209">
        <f>INDEX($A$102:$H$115,MATCH($L111,$B$102:$B$115,0),MATCH($M$101,$A$102:$H$102,0))*고양시_Modal_split!P$3 * 0.01</f>
        <v>32.076603679873358</v>
      </c>
      <c r="AA111" s="207">
        <f>INDEX($A$102:$H$115,MATCH($L111,$B$102:$B$115,0),MATCH($AA$101,$A$102:$H$102,0))*고양시_Modal_split!C$3 * 0.01</f>
        <v>0.69840945373211472</v>
      </c>
      <c r="AB111" s="207">
        <f>INDEX($A$102:$H$115,MATCH($L111,$B$102:$B$115,0),MATCH($AA$101,$A$102:$H$102,0))*고양시_Modal_split!D$3 * 0.01</f>
        <v>117.30784503221913</v>
      </c>
      <c r="AC111" s="207">
        <f>INDEX($A$102:$H$115,MATCH($L111,$B$102:$B$115,0),MATCH($AA$101,$A$102:$H$102,0))*고양시_Modal_split!E$3 * 0.01</f>
        <v>14.192677827627618</v>
      </c>
      <c r="AD111" s="207">
        <f>INDEX($A$102:$H$115,MATCH($L111,$B$102:$B$115,0),MATCH($AA$101,$A$102:$H$102,0))*고양시_Modal_split!F$3 * 0.01</f>
        <v>22.872909609726758</v>
      </c>
      <c r="AE111" s="207">
        <f>INDEX($A$102:$H$115,MATCH($L111,$B$102:$B$115,0),MATCH($AA$101,$A$102:$H$102,0))*고양시_Modal_split!G$3 * 0.01</f>
        <v>2.2947739194055199</v>
      </c>
      <c r="AF111" s="207">
        <f>INDEX($A$102:$H$115,MATCH($L111,$B$102:$B$115,0),MATCH($AA$101,$A$102:$H$102,0))*고양시_Modal_split!H$3 * 0.01</f>
        <v>2.4943194776146958E-2</v>
      </c>
      <c r="AG111" s="207">
        <f>INDEX($A$102:$H$115,MATCH($L111,$B$102:$B$115,0),MATCH($AA$101,$A$102:$H$102,0))*고양시_Modal_split!I$3 * 0.01</f>
        <v>6.9342081477688531</v>
      </c>
      <c r="AH111" s="207">
        <f>INDEX($A$102:$H$115,MATCH($L111,$B$102:$B$115,0),MATCH($AA$101,$A$102:$H$102,0))*고양시_Modal_split!J$3 * 0.01</f>
        <v>75.927084898591346</v>
      </c>
      <c r="AI111" s="207">
        <f>INDEX($A$102:$H$115,MATCH($L111,$B$102:$B$115,0),MATCH($AA$101,$A$102:$H$102,0))*고양시_Modal_split!K$3 * 0.01</f>
        <v>0.37414792164220428</v>
      </c>
      <c r="AJ111" s="207">
        <f>INDEX($A$102:$H$115,MATCH($L111,$B$102:$B$115,0),MATCH($AA$101,$A$102:$H$102,0))*고양시_Modal_split!L$3 * 0.01</f>
        <v>7.5328448223963811</v>
      </c>
      <c r="AK111" s="207">
        <f>INDEX($A$102:$H$115,MATCH($L111,$B$102:$B$115,0),MATCH($AA$101,$A$102:$H$102,0))*고양시_Modal_split!M$3 * 0.01</f>
        <v>0.57369347985137997</v>
      </c>
      <c r="AL111" s="207">
        <f>INDEX($A$102:$H$115,MATCH($L111,$B$102:$B$115,0),MATCH($AA$101,$A$102:$H$102,0))*고양시_Modal_split!N$3 * 0.01</f>
        <v>0.24943194776146957</v>
      </c>
      <c r="AM111" s="207">
        <f>INDEX($A$102:$H$115,MATCH($L111,$B$102:$B$115,0),MATCH($AA$101,$A$102:$H$102,0))*고양시_Modal_split!O$3 * 0.01</f>
        <v>0.44897750597064517</v>
      </c>
      <c r="AN111" s="207">
        <f>INDEX($A$102:$H$115,MATCH($L111,$B$102:$B$115,0),MATCH($AA$101,$A$102:$H$102,0))*고양시_Modal_split!P$3 * 0.01</f>
        <v>249.43194776146956</v>
      </c>
      <c r="AO111" s="303">
        <f>INDEX($A$102:$H$115,MATCH($L111,$B$102:$B$115,0),MATCH($AO$101,$A$102:$H$102,0))*고양시_Modal_split!C$3 * 0.01</f>
        <v>3.0957245645242978E-2</v>
      </c>
      <c r="AP111" s="303">
        <f>INDEX($A$102:$H$115,MATCH($L111,$B$102:$B$115,0),MATCH($AO$101,$A$102:$H$102,0))*고양시_Modal_split!D$3 * 0.01</f>
        <v>5.1997116524849183</v>
      </c>
      <c r="AQ111" s="303">
        <f>INDEX($A$102:$H$115,MATCH($L111,$B$102:$B$115,0),MATCH($AO$101,$A$102:$H$102,0))*고양시_Modal_split!E$3 * 0.01</f>
        <v>0.62909545614797335</v>
      </c>
      <c r="AR111" s="303">
        <f>INDEX($A$102:$H$115,MATCH($L111,$B$102:$B$115,0),MATCH($AO$101,$A$102:$H$102,0))*고양시_Modal_split!F$3 * 0.01</f>
        <v>1.0138497948817076</v>
      </c>
      <c r="AS111" s="303">
        <f>INDEX($A$102:$H$115,MATCH($L111,$B$102:$B$115,0),MATCH($AO$101,$A$102:$H$102,0))*고양시_Modal_split!G$3 * 0.01</f>
        <v>0.10171666426294121</v>
      </c>
      <c r="AT111" s="303">
        <f>INDEX($A$102:$H$115,MATCH($L111,$B$102:$B$115,0),MATCH($AO$101,$A$102:$H$102,0))*고양시_Modal_split!H$3 * 0.01</f>
        <v>1.1056159159015351E-3</v>
      </c>
      <c r="AU111" s="303">
        <f>INDEX($A$102:$H$115,MATCH($L111,$B$102:$B$115,0),MATCH($AO$101,$A$102:$H$102,0))*고양시_Modal_split!I$3 * 0.01</f>
        <v>0.30736122462062671</v>
      </c>
      <c r="AV111" s="303">
        <f>INDEX($A$102:$H$115,MATCH($L111,$B$102:$B$115,0),MATCH($AO$101,$A$102:$H$102,0))*고양시_Modal_split!J$3 * 0.01</f>
        <v>3.3654948480042726</v>
      </c>
      <c r="AW111" s="303">
        <f>INDEX($A$102:$H$115,MATCH($L111,$B$102:$B$115,0),MATCH($AO$101,$A$102:$H$102,0))*고양시_Modal_split!K$3 * 0.01</f>
        <v>1.6584238738523022E-2</v>
      </c>
      <c r="AX111" s="303">
        <f>INDEX($A$102:$H$115,MATCH($L111,$B$102:$B$115,0),MATCH($AO$101,$A$102:$H$102,0))*고양시_Modal_split!L$3 * 0.01</f>
        <v>0.3338960066022636</v>
      </c>
      <c r="AY111" s="303">
        <f>INDEX($A$102:$H$115,MATCH($L111,$B$102:$B$115,0),MATCH($AO$101,$A$102:$H$102,0))*고양시_Modal_split!M$3 * 0.01</f>
        <v>2.5429166065735302E-2</v>
      </c>
      <c r="AZ111" s="303">
        <f>INDEX($A$102:$H$115,MATCH($L111,$B$102:$B$115,0),MATCH($AO$101,$A$102:$H$102,0))*고양시_Modal_split!N$3 * 0.01</f>
        <v>1.1056159159015351E-2</v>
      </c>
      <c r="BA111" s="207">
        <f>INDEX($A$102:$H$115,MATCH($L111,$B$102:$B$115,0),MATCH($AO$101,$A$102:$H$102,0))*고양시_Modal_split!O$3 * 0.01</f>
        <v>1.9901086486227629E-2</v>
      </c>
      <c r="BB111" s="207">
        <f>INDEX($A$102:$H$115,MATCH($L111,$B$102:$B$115,0),MATCH($AO$101,$A$102:$H$102,0))*고양시_Modal_split!P$3 * 0.01</f>
        <v>11.056159159015349</v>
      </c>
      <c r="BC111" s="207">
        <f>INDEX($A$102:$H$115,MATCH($L111,$B$102:$B$115,0),MATCH($BC$101,$A$102:$H$102,0))*고양시_Modal_split!C$3 * 0.01</f>
        <v>8.3951852597269271E-5</v>
      </c>
      <c r="BD111" s="207">
        <f>INDEX($A$102:$H$115,MATCH($L111,$B$102:$B$115,0),MATCH($BC$101,$A$102:$H$102,0))*고양시_Modal_split!D$3 * 0.01</f>
        <v>1.4100912955891338E-2</v>
      </c>
      <c r="BE111" s="207">
        <f>INDEX($A$102:$H$115,MATCH($L111,$B$102:$B$115,0),MATCH($BC$101,$A$102:$H$102,0))*고양시_Modal_split!E$3 * 0.01</f>
        <v>1.7060215759945078E-3</v>
      </c>
      <c r="BF111" s="207">
        <f>INDEX($A$102:$H$115,MATCH($L111,$B$102:$B$115,0),MATCH($BC$101,$A$102:$H$102,0))*고양시_Modal_split!F$3 * 0.01</f>
        <v>2.7494231725605691E-3</v>
      </c>
      <c r="BG111" s="207">
        <f>INDEX($A$102:$H$115,MATCH($L111,$B$102:$B$115,0),MATCH($BC$101,$A$102:$H$102,0))*고양시_Modal_split!G$3 * 0.01</f>
        <v>2.7584180139102763E-4</v>
      </c>
      <c r="BH111" s="207">
        <f>INDEX($A$102:$H$115,MATCH($L111,$B$102:$B$115,0),MATCH($BC$101,$A$102:$H$102,0))*고양시_Modal_split!H$3 * 0.01</f>
        <v>2.9982804499024745E-6</v>
      </c>
      <c r="BI111" s="207">
        <f>INDEX($A$102:$H$115,MATCH($L111,$B$102:$B$115,0),MATCH($BC$101,$A$102:$H$102,0))*고양시_Modal_split!I$3 * 0.01</f>
        <v>8.3352196507288786E-4</v>
      </c>
      <c r="BJ111" s="207">
        <f>INDEX($A$102:$H$115,MATCH($L111,$B$102:$B$115,0),MATCH($BC$101,$A$102:$H$102,0))*고양시_Modal_split!J$3 * 0.01</f>
        <v>9.1267656895031319E-3</v>
      </c>
      <c r="BK111" s="207">
        <f>INDEX($A$102:$H$115,MATCH($L111,$B$102:$B$115,0),MATCH($BC$101,$A$102:$H$102,0))*고양시_Modal_split!K$3 * 0.01</f>
        <v>4.4974206748537114E-5</v>
      </c>
      <c r="BL111" s="207">
        <f>INDEX($A$102:$H$115,MATCH($L111,$B$102:$B$115,0),MATCH($BC$101,$A$102:$H$102,0))*고양시_Modal_split!L$3 * 0.01</f>
        <v>9.0548069587054723E-4</v>
      </c>
      <c r="BM111" s="207">
        <f>INDEX($A$102:$H$115,MATCH($L111,$B$102:$B$115,0),MATCH($BC$101,$A$102:$H$102,0))*고양시_Modal_split!M$3 * 0.01</f>
        <v>6.8960450347756906E-5</v>
      </c>
      <c r="BN111" s="207">
        <f>INDEX($A$102:$H$115,MATCH($L111,$B$102:$B$115,0),MATCH($BC$101,$A$102:$H$102,0))*고양시_Modal_split!N$3 * 0.01</f>
        <v>2.9982804499024746E-5</v>
      </c>
      <c r="BO111" s="207">
        <f>INDEX($A$102:$H$115,MATCH($L111,$B$102:$B$115,0),MATCH($BC$101,$A$102:$H$102,0))*고양시_Modal_split!O$3 * 0.01</f>
        <v>5.3969048098244535E-5</v>
      </c>
      <c r="BP111" s="207">
        <f>INDEX($A$102:$H$115,MATCH($L111,$B$102:$B$115,0),MATCH($BC$101,$A$102:$H$102,0))*고양시_Modal_split!P$3 * 0.01</f>
        <v>2.9982804499024743E-2</v>
      </c>
      <c r="BQ111" s="207">
        <f>INDEX($A$102:$H$115,MATCH($L111,$B$102:$B$115,0),MATCH($BQ$101,$A$102:$H$102,0))*고양시_Modal_split!C$3 * 0.01</f>
        <v>2.3786358235892879E-4</v>
      </c>
      <c r="BR111" s="207">
        <f>INDEX($A$102:$H$115,MATCH($L111,$B$102:$B$115,0),MATCH($BQ$101,$A$102:$H$102,0))*고양시_Modal_split!D$3 * 0.01</f>
        <v>3.9952586708358655E-2</v>
      </c>
      <c r="BS111" s="207">
        <f>INDEX($A$102:$H$115,MATCH($L111,$B$102:$B$115,0),MATCH($BQ$101,$A$102:$H$102,0))*고양시_Modal_split!E$3 * 0.01</f>
        <v>4.8337277986510892E-3</v>
      </c>
      <c r="BT111" s="207">
        <f>INDEX($A$102:$H$115,MATCH($L111,$B$102:$B$115,0),MATCH($BQ$101,$A$102:$H$102,0))*고양시_Modal_split!F$3 * 0.01</f>
        <v>7.7900323222549195E-3</v>
      </c>
      <c r="BU111" s="207">
        <f>INDEX($A$102:$H$115,MATCH($L111,$B$102:$B$115,0),MATCH($BQ$101,$A$102:$H$102,0))*고양시_Modal_split!G$3 * 0.01</f>
        <v>7.8155177060790899E-4</v>
      </c>
      <c r="BV111" s="207">
        <f>INDEX($A$102:$H$115,MATCH($L111,$B$102:$B$115,0),MATCH($BQ$101,$A$102:$H$102,0))*고양시_Modal_split!H$3 * 0.01</f>
        <v>8.4951279413903151E-6</v>
      </c>
      <c r="BW111" s="207">
        <f>INDEX($A$102:$H$115,MATCH($L111,$B$102:$B$115,0),MATCH($BQ$101,$A$102:$H$102,0))*고양시_Modal_split!I$3 * 0.01</f>
        <v>2.3616455677065076E-3</v>
      </c>
      <c r="BX111" s="207">
        <f>INDEX($A$102:$H$115,MATCH($L111,$B$102:$B$115,0),MATCH($BQ$101,$A$102:$H$102,0))*고양시_Modal_split!J$3 * 0.01</f>
        <v>2.585916945359212E-2</v>
      </c>
      <c r="BY111" s="207">
        <f>INDEX($A$102:$H$115,MATCH($L111,$B$102:$B$115,0),MATCH($BQ$101,$A$102:$H$102,0))*고양시_Modal_split!K$3 * 0.01</f>
        <v>1.2742691912085471E-4</v>
      </c>
      <c r="BZ111" s="207">
        <f>INDEX($A$102:$H$115,MATCH($L111,$B$102:$B$115,0),MATCH($BQ$101,$A$102:$H$102,0))*고양시_Modal_split!L$3 * 0.01</f>
        <v>2.5655286382998753E-3</v>
      </c>
      <c r="CA111" s="207">
        <f>INDEX($A$102:$H$115,MATCH($L111,$B$102:$B$115,0),MATCH($BQ$101,$A$102:$H$102,0))*고양시_Modal_split!M$3 * 0.01</f>
        <v>1.9538794265197725E-4</v>
      </c>
      <c r="CB111" s="207">
        <f>INDEX($A$102:$H$115,MATCH($L111,$B$102:$B$115,0),MATCH($BQ$101,$A$102:$H$102,0))*고양시_Modal_split!N$3 * 0.01</f>
        <v>8.4951279413903168E-5</v>
      </c>
      <c r="CC111" s="207">
        <f>INDEX($A$102:$H$115,MATCH($L111,$B$102:$B$115,0),MATCH($BQ$101,$A$102:$H$102,0))*고양시_Modal_split!O$3 * 0.01</f>
        <v>1.5291230294502568E-4</v>
      </c>
      <c r="CD111" s="207">
        <f>INDEX($A$102:$H$115,MATCH($L111,$B$102:$B$115,0),MATCH($BQ$101,$A$102:$H$102,0))*고양시_Modal_split!P$3 * 0.01</f>
        <v>8.4951279413903152E-2</v>
      </c>
      <c r="CE111" s="304">
        <f t="shared" si="51"/>
        <v>0.81950300511595919</v>
      </c>
      <c r="CF111" s="304">
        <f t="shared" si="47"/>
        <v>137.64723689501272</v>
      </c>
      <c r="CG111" s="304">
        <f t="shared" si="47"/>
        <v>16.653471782535028</v>
      </c>
      <c r="CH111" s="304">
        <f t="shared" si="47"/>
        <v>26.838723417547666</v>
      </c>
      <c r="CI111" s="304">
        <f t="shared" si="47"/>
        <v>2.6926527310952948</v>
      </c>
      <c r="CJ111" s="304">
        <f t="shared" si="47"/>
        <v>2.9267964468427124E-2</v>
      </c>
      <c r="CK111" s="304">
        <f t="shared" si="47"/>
        <v>8.1364941222227376</v>
      </c>
      <c r="CL111" s="304">
        <f t="shared" si="47"/>
        <v>89.091683841892177</v>
      </c>
      <c r="CM111" s="304">
        <f t="shared" si="47"/>
        <v>0.43901946702640676</v>
      </c>
      <c r="CN111" s="304">
        <f t="shared" si="47"/>
        <v>8.8389252694649905</v>
      </c>
      <c r="CO111" s="304">
        <f t="shared" si="47"/>
        <v>0.6731631827738237</v>
      </c>
      <c r="CP111" s="304">
        <f t="shared" si="47"/>
        <v>0.29267964468427116</v>
      </c>
      <c r="CQ111" s="304">
        <f t="shared" si="47"/>
        <v>0.5268233604316882</v>
      </c>
      <c r="CR111" s="304">
        <f t="shared" si="47"/>
        <v>292.67964468427118</v>
      </c>
      <c r="CS111" s="305">
        <f t="shared" si="52"/>
        <v>0</v>
      </c>
      <c r="CV111" s="267"/>
      <c r="CW111" s="267" t="s">
        <v>303</v>
      </c>
      <c r="CX111" s="267">
        <f>INDEX($M$101:$Z$115,MATCH($CW111,$L$101:$L$115,0),MATCH(CX$102,$M$102:$Z$102,0))/INDEX(고양시_재차인원!$D$4:$H$35,MATCH("고양시",고양시_재차인원!$B$4:$B$35,0),MATCH($CX$101,고양시_재차인원!$D$4:$H$4,0))</f>
        <v>13.469309563075392</v>
      </c>
      <c r="CY111" s="267">
        <f>INDEX($M$101:$Z$115,MATCH($CW111,$L$101:$L$115,0),MATCH(CY$102,$M$102:$Z$102,0))/INDEX(고양시_재차인원!$K$4:$O$20,MATCH("경기도",고양시_재차인원!$K$4:$K$20,0),MATCH(CY$102,고양시_재차인원!$K$4:$O$4,0))</f>
        <v>1.1141578214613881E-4</v>
      </c>
      <c r="CZ111" s="267">
        <f>INDEX($M$101:$Z$115,MATCH($CW111,$L$101:$L$115,0),MATCH(CZ$102,$M$102:$Z$102,0))/INDEX(고양시_재차인원!$K$4:$O$20,MATCH("경기도",고양시_재차인원!$K$4:$K$20,0),MATCH(CZ$102,고양시_재차인원!$K$4:$O$4,0))</f>
        <v>3.0973587436626582E-2</v>
      </c>
      <c r="DA111" s="267">
        <f>INDEX($M$101:$Z$115,MATCH($CW111,$L$101:$L$115,0),MATCH(DA$102,$M$102:$Z$102,0))/INDEX(고양시_재차인원!$D$4:$H$35,MATCH("고양시",고양시_재차인원!$B$4:$B$35,0),MATCH($CX$101,고양시_재차인원!$D$4:$H$4,0))</f>
        <v>0.86492270636801383</v>
      </c>
      <c r="DB111" s="267">
        <f>INDEX($AA$101:$AN$115,MATCH($CW111,$L$101:$L$115,0),MATCH(DB$102,$AA$102:$AN$102,0))/INDEX(고양시_재차인원!$D$4:$H$35,MATCH("고양시",고양시_재차인원!$B$4:$B$35,0),MATCH($DB$101,고양시_재차인원!$D$4:$H$4,0))</f>
        <v>83.197053214339817</v>
      </c>
      <c r="DC111" s="267">
        <f>INDEX($AA$101:$AN$115,MATCH($CW111,$L$101:$L$115,0),MATCH(DC$102,$AA$102:$AN$102,0))/INDEX(고양시_재차인원!$K$4:$O$20,MATCH("경기도",고양시_재차인원!$K$4:$K$20,0),MATCH(DC$102,고양시_재차인원!$K$4:$O$4,0))</f>
        <v>8.6638397972028339E-4</v>
      </c>
      <c r="DD111" s="267">
        <f>INDEX($AA$101:$AN$115,MATCH($CW111,$L$101:$L$115,0),MATCH(DD$102,$AA$102:$AN$102,0))/INDEX(고양시_재차인원!$K$4:$O$20,MATCH("경기도",고양시_재차인원!$K$4:$K$20,0),MATCH(DD$102,고양시_재차인원!$K$4:$O$4,0))</f>
        <v>0.24085474636223875</v>
      </c>
      <c r="DE111" s="267">
        <f>INDEX($AA$101:$AN$115,MATCH($CW111,$L$101:$L$115,0),MATCH(DE$102,$AA$102:$AN$102,0))/INDEX(고양시_재차인원!$D$4:$H$35,MATCH("고양시",고양시_재차인원!$B$4:$B$35,0),MATCH($DB$101,고양시_재차인원!$D$4:$H$4,0))</f>
        <v>5.3424431364513341</v>
      </c>
      <c r="DF111" s="267">
        <f>INDEX($AO$101:$BB$115,MATCH($CW111,$L$101:$L$115,0),MATCH(DF$102,$AO$102:$BB$102,0))/INDEX(고양시_재차인원!$D$4:$H$35,MATCH("고양시",고양시_재차인원!$B$4:$B$35,0),MATCH($DF$101,고양시_재차인원!$D$4:$H$4,0))</f>
        <v>3.9997781942191679</v>
      </c>
      <c r="DG111" s="267">
        <f>INDEX($AO$101:$BB$115,MATCH($CW111,$L$101:$L$115,0),MATCH(DG$102,$AO$102:$BB$102,0))/INDEX(고양시_재차인원!$K$4:$O$20,MATCH("경기도",고양시_재차인원!$K$4:$K$20,0),MATCH(DG$102,고양시_재차인원!$K$4:$O$4,0))</f>
        <v>3.8402775821519105E-5</v>
      </c>
      <c r="DH111" s="267">
        <f>INDEX($AO$101:$BB$115,MATCH($CW111,$L$101:$L$115,0),MATCH(DH$102,$AO$102:$BB$102,0))/INDEX(고양시_재차인원!$K$4:$O$20,MATCH("경기도",고양시_재차인원!$K$4:$K$20,0),MATCH(DH$102,고양시_재차인원!$K$4:$O$4,0))</f>
        <v>1.067597167838231E-2</v>
      </c>
      <c r="DI111" s="267">
        <f>INDEX($AO$101:$BB$115,MATCH($CW111,$L$101:$L$115,0),MATCH(DI$102,$AO$102:$BB$102,0))/INDEX(고양시_재차인원!$D$4:$H$35,MATCH("고양시",고양시_재차인원!$B$4:$B$35,0),MATCH($DF$101,고양시_재차인원!$D$4:$H$4,0))</f>
        <v>0.25684308200174122</v>
      </c>
      <c r="DJ111" s="267">
        <f>INDEX($BC$101:$BP$115,MATCH($CW111,$L$101:$L$115,0),MATCH(DJ$102,$BC$102:$BP$102,0))/INDEX(고양시_재차인원!$D$4:$H$35,MATCH("고양시",고양시_재차인원!$B$4:$B$35,0),MATCH($DJ$101,고양시_재차인원!$D$4:$H$4,0))</f>
        <v>1.0368318349920101E-2</v>
      </c>
      <c r="DK111" s="267">
        <f>INDEX($BC$101:$BP$115,MATCH($CW111,$L$101:$L$115,0),MATCH(DK$102,$BC$102:$BP$102,0))/INDEX(고양시_재차인원!$K$4:$O$20,MATCH("경기도",고양시_재차인원!$K$4:$K$20,0),MATCH(DK$102,고양시_재차인원!$K$4:$O$4,0))</f>
        <v>1.0414312087191645E-7</v>
      </c>
      <c r="DL111" s="267">
        <f>INDEX($BC$101:$BP$115,MATCH($CW111,$L$101:$L$115,0),MATCH(DL$102,$BC$102:$BP$102,0))/INDEX(고양시_재차인원!$K$4:$O$20,MATCH("경기도",고양시_재차인원!$K$4:$K$20,0),MATCH(DL$102,고양시_재차인원!$K$4:$O$4,0))</f>
        <v>2.895178760239277E-5</v>
      </c>
      <c r="DM111" s="267">
        <f>INDEX($BC$101:$BP$115,MATCH($CW111,$L$101:$L$115,0),MATCH(DM$102,$BC$102:$BP$102,0))/INDEX(고양시_재차인원!$D$4:$H$35,MATCH("고양시",고양시_재차인원!$B$4:$B$35,0),MATCH($DJ$101,고양시_재차인원!$D$4:$H$4,0))</f>
        <v>6.6579462931657882E-4</v>
      </c>
      <c r="DN111" s="267">
        <f>INDEX($BQ$101:$CD$115,MATCH($CW111,$L$101:$L$115,0),MATCH(DN$102,$BQ$102:$CD$102,0))/INDEX(고양시_재차인원!$D$4:$H$35,MATCH("고양시",고양시_재차인원!$B$4:$B$35,0),MATCH($DN$101,고양시_재차인원!$D$4:$H$4,0))</f>
        <v>3.1708402149490993E-2</v>
      </c>
      <c r="DO111" s="267">
        <f>INDEX($BQ$101:$CD$115,MATCH($CW111,$L$101:$L$115,0),MATCH(DO$102,$BQ$102:$CD$102,0))/INDEX(고양시_재차인원!$K$4:$O$20,MATCH("경기도",고양시_재차인원!$K$4:$K$20,0),MATCH(DO$102,고양시_재차인원!$K$4:$O$4,0))</f>
        <v>2.9507217580376228E-7</v>
      </c>
      <c r="DP111" s="267">
        <f>INDEX($BQ$101:$CD$115,MATCH($CW111,$L$101:$L$115,0),MATCH(DP$102,$BQ$102:$CD$102,0))/INDEX(고양시_재차인원!$K$4:$O$20,MATCH("경기도",고양시_재차인원!$K$4:$K$20,0),MATCH(DP$102,고양시_재차인원!$K$4:$O$4,0))</f>
        <v>8.2030064873445902E-5</v>
      </c>
      <c r="DQ111" s="267">
        <f>INDEX($BQ$101:$CD$115,MATCH($CW111,$L$101:$L$115,0),MATCH(DQ$102,$BQ$102:$CD$102,0))/INDEX(고양시_재차인원!$D$4:$H$35,MATCH("고양시",고양시_재차인원!$B$4:$B$35,0),MATCH($DN$101,고양시_재차인원!$D$4:$H$4,0))</f>
        <v>2.0361338399205358E-3</v>
      </c>
      <c r="DR111" s="270">
        <f t="shared" si="53"/>
        <v>100.70821769213379</v>
      </c>
      <c r="DS111" s="270">
        <f t="shared" si="48"/>
        <v>1.0166017529846169E-3</v>
      </c>
      <c r="DT111" s="270">
        <f t="shared" si="48"/>
        <v>0.28261528732972346</v>
      </c>
      <c r="DU111" s="270">
        <f t="shared" si="48"/>
        <v>6.4669108532903268</v>
      </c>
      <c r="DW111" s="278"/>
      <c r="DX111" s="278" t="s">
        <v>303</v>
      </c>
      <c r="DY111" s="281">
        <f t="shared" si="54"/>
        <v>107.17512854542412</v>
      </c>
      <c r="DZ111" s="281">
        <f t="shared" si="55"/>
        <v>0.28363188908270809</v>
      </c>
      <c r="EB111" s="278"/>
      <c r="EC111" s="278" t="s">
        <v>303</v>
      </c>
      <c r="ED111" s="281">
        <f t="shared" si="56"/>
        <v>107.17512854542412</v>
      </c>
      <c r="EE111" s="281">
        <f t="shared" si="49"/>
        <v>0.28363188908270809</v>
      </c>
      <c r="EL111" s="306" t="s">
        <v>667</v>
      </c>
      <c r="EM111" s="306" t="s">
        <v>76</v>
      </c>
      <c r="EN111" s="306">
        <v>25868.347099999999</v>
      </c>
      <c r="EO111" s="306">
        <v>0.13929345213562067</v>
      </c>
      <c r="EP111" s="307">
        <v>849109</v>
      </c>
      <c r="EQ111" s="308">
        <f t="shared" si="57"/>
        <v>570.9587220924883</v>
      </c>
      <c r="ER111" s="308">
        <f t="shared" si="58"/>
        <v>1.5110044945428303</v>
      </c>
      <c r="ET111" s="420" t="s">
        <v>667</v>
      </c>
      <c r="EU111" s="420" t="s">
        <v>76</v>
      </c>
      <c r="EV111" s="420">
        <v>25868.347099999999</v>
      </c>
      <c r="EW111" s="420">
        <v>0.13929345213562067</v>
      </c>
      <c r="EX111" s="421">
        <v>849109</v>
      </c>
      <c r="EY111" s="422">
        <f t="shared" si="59"/>
        <v>554.68639851285241</v>
      </c>
      <c r="EZ111" s="422">
        <f t="shared" si="60"/>
        <v>1.4679408664483597</v>
      </c>
      <c r="FA111">
        <v>0</v>
      </c>
      <c r="FD111" s="306" t="s">
        <v>667</v>
      </c>
      <c r="FE111" s="306" t="s">
        <v>76</v>
      </c>
      <c r="FF111" s="306">
        <v>25868.347099999999</v>
      </c>
      <c r="FG111" s="306">
        <v>0.13929345213562067</v>
      </c>
      <c r="FH111" s="307">
        <v>849109</v>
      </c>
      <c r="FI111" s="308">
        <f t="shared" si="61"/>
        <v>554.68639851285241</v>
      </c>
      <c r="FJ111" s="308">
        <f t="shared" si="50"/>
        <v>1.4679408664483597</v>
      </c>
      <c r="FL111" s="101"/>
      <c r="FM111" s="101"/>
      <c r="FN111" s="101"/>
      <c r="FO111" s="101"/>
      <c r="FP111" s="374"/>
      <c r="FQ111" s="404"/>
      <c r="FR111" s="404"/>
    </row>
    <row r="112" spans="1:174">
      <c r="A112" s="205"/>
      <c r="B112" s="205" t="s">
        <v>304</v>
      </c>
      <c r="C112" s="400">
        <f>$AB70*KTDB_TripDistribution_2045!L$12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2.9592912785385628</v>
      </c>
      <c r="D112" s="400">
        <f>$AB70*KTDB_TripDistribution_2045!M$12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23.011843615555676</v>
      </c>
      <c r="E112" s="400">
        <f>$AB70*KTDB_TripDistribution_2045!N$12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1.0200080937477096</v>
      </c>
      <c r="F112" s="400">
        <f>$AB70*KTDB_TripDistribution_2045!O$12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2.7661236440615911E-3</v>
      </c>
      <c r="G112" s="400">
        <f>$AB70*KTDB_TripDistribution_2045!P$12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7.8373503248411469E-3</v>
      </c>
      <c r="H112" s="400">
        <f>$AB70*KTDB_TripDistribution_2045!Q$12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27.00174646181085</v>
      </c>
      <c r="I112" s="56"/>
      <c r="J112" s="56"/>
      <c r="K112" s="206"/>
      <c r="L112" s="206" t="s">
        <v>304</v>
      </c>
      <c r="M112" s="206">
        <f>INDEX($A$102:$H$115,MATCH($L112,$B$102:$B$115,0),MATCH($M$101,$A$102:$H$102,0))*고양시_Modal_split!C$3 * 0.01</f>
        <v>8.2860155799079748E-3</v>
      </c>
      <c r="N112" s="206">
        <f>INDEX($A$102:$H$115,MATCH($L112,$B$102:$B$115,0),MATCH($M$101,$A$102:$H$102,0))*고양시_Modal_split!D$3 * 0.01</f>
        <v>1.391754688296686</v>
      </c>
      <c r="O112" s="206">
        <f>INDEX($A$102:$H$115,MATCH($L112,$B$102:$B$115,0),MATCH($M$101,$A$102:$H$102,0))*고양시_Modal_split!E$3 * 0.01</f>
        <v>0.16838367374884419</v>
      </c>
      <c r="P112" s="206">
        <f>INDEX($A$102:$H$115,MATCH($L112,$B$102:$B$115,0),MATCH($M$101,$A$102:$H$102,0))*고양시_Modal_split!F$3 * 0.01</f>
        <v>0.27136701024198623</v>
      </c>
      <c r="Q112" s="206">
        <f>INDEX($A$102:$H$115,MATCH($L112,$B$102:$B$115,0),MATCH($M$101,$A$102:$H$102,0))*고양시_Modal_split!G$3 * 0.01</f>
        <v>2.7225479762554773E-2</v>
      </c>
      <c r="R112" s="206">
        <f>INDEX($A$102:$H$115,MATCH($L112,$B$102:$B$115,0),MATCH($M$101,$A$102:$H$102,0))*고양시_Modal_split!H$3 * 0.01</f>
        <v>2.9592912785385625E-4</v>
      </c>
      <c r="S112" s="206">
        <f>INDEX($A$102:$H$115,MATCH($L112,$B$102:$B$115,0),MATCH($M$101,$A$102:$H$102,0))*고양시_Modal_split!I$3 * 0.01</f>
        <v>8.2268297543372046E-2</v>
      </c>
      <c r="T112" s="206">
        <f>INDEX($A$102:$H$115,MATCH($L112,$B$102:$B$115,0),MATCH($M$101,$A$102:$H$102,0))*고양시_Modal_split!J$3 * 0.01</f>
        <v>0.90080826518713852</v>
      </c>
      <c r="U112" s="206">
        <f>INDEX($A$102:$H$115,MATCH($L112,$B$102:$B$115,0),MATCH($M$101,$A$102:$H$102,0))*고양시_Modal_split!K$3 * 0.01</f>
        <v>4.4389369178078446E-3</v>
      </c>
      <c r="V112" s="206">
        <f>INDEX($A$102:$H$115,MATCH($L112,$B$102:$B$115,0),MATCH($M$101,$A$102:$H$102,0))*고양시_Modal_split!L$3 * 0.01</f>
        <v>8.9370596611864597E-2</v>
      </c>
      <c r="W112" s="206">
        <f>INDEX($A$102:$H$115,MATCH($L112,$B$102:$B$115,0),MATCH($M$101,$A$102:$H$102,0))*고양시_Modal_split!M$3 * 0.01</f>
        <v>6.8063699406386933E-3</v>
      </c>
      <c r="X112" s="206">
        <f>INDEX($A$102:$H$115,MATCH($L112,$B$102:$B$115,0),MATCH($M$101,$A$102:$H$102,0))*고양시_Modal_split!N$3 * 0.01</f>
        <v>2.9592912785385631E-3</v>
      </c>
      <c r="Y112" s="206">
        <f>INDEX($A$102:$H$115,MATCH($L112,$B$102:$B$115,0),MATCH($M$101,$A$102:$H$102,0))*고양시_Modal_split!O$3 * 0.01</f>
        <v>5.3267243013694135E-3</v>
      </c>
      <c r="Z112" s="209">
        <f>INDEX($A$102:$H$115,MATCH($L112,$B$102:$B$115,0),MATCH($M$101,$A$102:$H$102,0))*고양시_Modal_split!P$3 * 0.01</f>
        <v>2.9592912785385632</v>
      </c>
      <c r="AA112" s="207">
        <f>INDEX($A$102:$H$115,MATCH($L112,$B$102:$B$115,0),MATCH($AA$101,$A$102:$H$102,0))*고양시_Modal_split!C$3 * 0.01</f>
        <v>6.443316212355589E-2</v>
      </c>
      <c r="AB112" s="207">
        <f>INDEX($A$102:$H$115,MATCH($L112,$B$102:$B$115,0),MATCH($AA$101,$A$102:$H$102,0))*고양시_Modal_split!D$3 * 0.01</f>
        <v>10.822470052395836</v>
      </c>
      <c r="AC112" s="207">
        <f>INDEX($A$102:$H$115,MATCH($L112,$B$102:$B$115,0),MATCH($AA$101,$A$102:$H$102,0))*고양시_Modal_split!E$3 * 0.01</f>
        <v>1.3093739017251178</v>
      </c>
      <c r="AD112" s="207">
        <f>INDEX($A$102:$H$115,MATCH($L112,$B$102:$B$115,0),MATCH($AA$101,$A$102:$H$102,0))*고양시_Modal_split!F$3 * 0.01</f>
        <v>2.1101860595464554</v>
      </c>
      <c r="AE112" s="207">
        <f>INDEX($A$102:$H$115,MATCH($L112,$B$102:$B$115,0),MATCH($AA$101,$A$102:$H$102,0))*고양시_Modal_split!G$3 * 0.01</f>
        <v>0.2117089612631122</v>
      </c>
      <c r="AF112" s="207">
        <f>INDEX($A$102:$H$115,MATCH($L112,$B$102:$B$115,0),MATCH($AA$101,$A$102:$H$102,0))*고양시_Modal_split!H$3 * 0.01</f>
        <v>2.3011843615555676E-3</v>
      </c>
      <c r="AG112" s="207">
        <f>INDEX($A$102:$H$115,MATCH($L112,$B$102:$B$115,0),MATCH($AA$101,$A$102:$H$102,0))*고양시_Modal_split!I$3 * 0.01</f>
        <v>0.63972925251244772</v>
      </c>
      <c r="AH112" s="207">
        <f>INDEX($A$102:$H$115,MATCH($L112,$B$102:$B$115,0),MATCH($AA$101,$A$102:$H$102,0))*고양시_Modal_split!J$3 * 0.01</f>
        <v>7.0048051965751483</v>
      </c>
      <c r="AI112" s="207">
        <f>INDEX($A$102:$H$115,MATCH($L112,$B$102:$B$115,0),MATCH($AA$101,$A$102:$H$102,0))*고양시_Modal_split!K$3 * 0.01</f>
        <v>3.4517765423333513E-2</v>
      </c>
      <c r="AJ112" s="207">
        <f>INDEX($A$102:$H$115,MATCH($L112,$B$102:$B$115,0),MATCH($AA$101,$A$102:$H$102,0))*고양시_Modal_split!L$3 * 0.01</f>
        <v>0.69495767718978141</v>
      </c>
      <c r="AK112" s="207">
        <f>INDEX($A$102:$H$115,MATCH($L112,$B$102:$B$115,0),MATCH($AA$101,$A$102:$H$102,0))*고양시_Modal_split!M$3 * 0.01</f>
        <v>5.292724031577805E-2</v>
      </c>
      <c r="AL112" s="207">
        <f>INDEX($A$102:$H$115,MATCH($L112,$B$102:$B$115,0),MATCH($AA$101,$A$102:$H$102,0))*고양시_Modal_split!N$3 * 0.01</f>
        <v>2.301184361555568E-2</v>
      </c>
      <c r="AM112" s="207">
        <f>INDEX($A$102:$H$115,MATCH($L112,$B$102:$B$115,0),MATCH($AA$101,$A$102:$H$102,0))*고양시_Modal_split!O$3 * 0.01</f>
        <v>4.1421318508000217E-2</v>
      </c>
      <c r="AN112" s="207">
        <f>INDEX($A$102:$H$115,MATCH($L112,$B$102:$B$115,0),MATCH($AA$101,$A$102:$H$102,0))*고양시_Modal_split!P$3 * 0.01</f>
        <v>23.011843615555676</v>
      </c>
      <c r="AO112" s="303">
        <f>INDEX($A$102:$H$115,MATCH($L112,$B$102:$B$115,0),MATCH($AO$101,$A$102:$H$102,0))*고양시_Modal_split!C$3 * 0.01</f>
        <v>2.8560226624935866E-3</v>
      </c>
      <c r="AP112" s="303">
        <f>INDEX($A$102:$H$115,MATCH($L112,$B$102:$B$115,0),MATCH($AO$101,$A$102:$H$102,0))*고양시_Modal_split!D$3 * 0.01</f>
        <v>0.47970980648954786</v>
      </c>
      <c r="AQ112" s="303">
        <f>INDEX($A$102:$H$115,MATCH($L112,$B$102:$B$115,0),MATCH($AO$101,$A$102:$H$102,0))*고양시_Modal_split!E$3 * 0.01</f>
        <v>5.8038460534244676E-2</v>
      </c>
      <c r="AR112" s="303">
        <f>INDEX($A$102:$H$115,MATCH($L112,$B$102:$B$115,0),MATCH($AO$101,$A$102:$H$102,0))*고양시_Modal_split!F$3 * 0.01</f>
        <v>9.3534742196664966E-2</v>
      </c>
      <c r="AS112" s="303">
        <f>INDEX($A$102:$H$115,MATCH($L112,$B$102:$B$115,0),MATCH($AO$101,$A$102:$H$102,0))*고양시_Modal_split!G$3 * 0.01</f>
        <v>9.3840744624789276E-3</v>
      </c>
      <c r="AT112" s="303">
        <f>INDEX($A$102:$H$115,MATCH($L112,$B$102:$B$115,0),MATCH($AO$101,$A$102:$H$102,0))*고양시_Modal_split!H$3 * 0.01</f>
        <v>1.0200080937477097E-4</v>
      </c>
      <c r="AU112" s="303">
        <f>INDEX($A$102:$H$115,MATCH($L112,$B$102:$B$115,0),MATCH($AO$101,$A$102:$H$102,0))*고양시_Modal_split!I$3 * 0.01</f>
        <v>2.8356225006186328E-2</v>
      </c>
      <c r="AV112" s="303">
        <f>INDEX($A$102:$H$115,MATCH($L112,$B$102:$B$115,0),MATCH($AO$101,$A$102:$H$102,0))*고양시_Modal_split!J$3 * 0.01</f>
        <v>0.31049046373680284</v>
      </c>
      <c r="AW112" s="303">
        <f>INDEX($A$102:$H$115,MATCH($L112,$B$102:$B$115,0),MATCH($AO$101,$A$102:$H$102,0))*고양시_Modal_split!K$3 * 0.01</f>
        <v>1.5300121406215644E-3</v>
      </c>
      <c r="AX112" s="303">
        <f>INDEX($A$102:$H$115,MATCH($L112,$B$102:$B$115,0),MATCH($AO$101,$A$102:$H$102,0))*고양시_Modal_split!L$3 * 0.01</f>
        <v>3.0804244431180829E-2</v>
      </c>
      <c r="AY112" s="303">
        <f>INDEX($A$102:$H$115,MATCH($L112,$B$102:$B$115,0),MATCH($AO$101,$A$102:$H$102,0))*고양시_Modal_split!M$3 * 0.01</f>
        <v>2.3460186156197319E-3</v>
      </c>
      <c r="AZ112" s="303">
        <f>INDEX($A$102:$H$115,MATCH($L112,$B$102:$B$115,0),MATCH($AO$101,$A$102:$H$102,0))*고양시_Modal_split!N$3 * 0.01</f>
        <v>1.0200080937477097E-3</v>
      </c>
      <c r="BA112" s="207">
        <f>INDEX($A$102:$H$115,MATCH($L112,$B$102:$B$115,0),MATCH($AO$101,$A$102:$H$102,0))*고양시_Modal_split!O$3 * 0.01</f>
        <v>1.8360145687458774E-3</v>
      </c>
      <c r="BB112" s="207">
        <f>INDEX($A$102:$H$115,MATCH($L112,$B$102:$B$115,0),MATCH($AO$101,$A$102:$H$102,0))*고양시_Modal_split!P$3 * 0.01</f>
        <v>1.0200080937477096</v>
      </c>
      <c r="BC112" s="207">
        <f>INDEX($A$102:$H$115,MATCH($L112,$B$102:$B$115,0),MATCH($BC$101,$A$102:$H$102,0))*고양시_Modal_split!C$3 * 0.01</f>
        <v>7.7451462033724554E-6</v>
      </c>
      <c r="BD112" s="207">
        <f>INDEX($A$102:$H$115,MATCH($L112,$B$102:$B$115,0),MATCH($BC$101,$A$102:$H$102,0))*고양시_Modal_split!D$3 * 0.01</f>
        <v>1.3009079498021664E-3</v>
      </c>
      <c r="BE112" s="207">
        <f>INDEX($A$102:$H$115,MATCH($L112,$B$102:$B$115,0),MATCH($BC$101,$A$102:$H$102,0))*고양시_Modal_split!E$3 * 0.01</f>
        <v>1.5739243534710454E-4</v>
      </c>
      <c r="BF112" s="207">
        <f>INDEX($A$102:$H$115,MATCH($L112,$B$102:$B$115,0),MATCH($BC$101,$A$102:$H$102,0))*고양시_Modal_split!F$3 * 0.01</f>
        <v>2.5365353816044791E-4</v>
      </c>
      <c r="BG112" s="207">
        <f>INDEX($A$102:$H$115,MATCH($L112,$B$102:$B$115,0),MATCH($BC$101,$A$102:$H$102,0))*고양시_Modal_split!G$3 * 0.01</f>
        <v>2.5448337525366635E-5</v>
      </c>
      <c r="BH112" s="207">
        <f>INDEX($A$102:$H$115,MATCH($L112,$B$102:$B$115,0),MATCH($BC$101,$A$102:$H$102,0))*고양시_Modal_split!H$3 * 0.01</f>
        <v>2.7661236440615911E-7</v>
      </c>
      <c r="BI112" s="207">
        <f>INDEX($A$102:$H$115,MATCH($L112,$B$102:$B$115,0),MATCH($BC$101,$A$102:$H$102,0))*고양시_Modal_split!I$3 * 0.01</f>
        <v>7.689823730491222E-5</v>
      </c>
      <c r="BJ112" s="207">
        <f>INDEX($A$102:$H$115,MATCH($L112,$B$102:$B$115,0),MATCH($BC$101,$A$102:$H$102,0))*고양시_Modal_split!J$3 * 0.01</f>
        <v>8.4200803725234833E-4</v>
      </c>
      <c r="BK112" s="207">
        <f>INDEX($A$102:$H$115,MATCH($L112,$B$102:$B$115,0),MATCH($BC$101,$A$102:$H$102,0))*고양시_Modal_split!K$3 * 0.01</f>
        <v>4.1491854660923863E-6</v>
      </c>
      <c r="BL112" s="207">
        <f>INDEX($A$102:$H$115,MATCH($L112,$B$102:$B$115,0),MATCH($BC$101,$A$102:$H$102,0))*고양시_Modal_split!L$3 * 0.01</f>
        <v>8.3536934050660054E-5</v>
      </c>
      <c r="BM112" s="207">
        <f>INDEX($A$102:$H$115,MATCH($L112,$B$102:$B$115,0),MATCH($BC$101,$A$102:$H$102,0))*고양시_Modal_split!M$3 * 0.01</f>
        <v>6.3620843813416588E-6</v>
      </c>
      <c r="BN112" s="207">
        <f>INDEX($A$102:$H$115,MATCH($L112,$B$102:$B$115,0),MATCH($BC$101,$A$102:$H$102,0))*고양시_Modal_split!N$3 * 0.01</f>
        <v>2.7661236440615915E-6</v>
      </c>
      <c r="BO112" s="207">
        <f>INDEX($A$102:$H$115,MATCH($L112,$B$102:$B$115,0),MATCH($BC$101,$A$102:$H$102,0))*고양시_Modal_split!O$3 * 0.01</f>
        <v>4.9790225593108639E-6</v>
      </c>
      <c r="BP112" s="207">
        <f>INDEX($A$102:$H$115,MATCH($L112,$B$102:$B$115,0),MATCH($BC$101,$A$102:$H$102,0))*고양시_Modal_split!P$3 * 0.01</f>
        <v>2.7661236440615911E-3</v>
      </c>
      <c r="BQ112" s="207">
        <f>INDEX($A$102:$H$115,MATCH($L112,$B$102:$B$115,0),MATCH($BQ$101,$A$102:$H$102,0))*고양시_Modal_split!C$3 * 0.01</f>
        <v>2.1944580909555209E-5</v>
      </c>
      <c r="BR112" s="207">
        <f>INDEX($A$102:$H$115,MATCH($L112,$B$102:$B$115,0),MATCH($BQ$101,$A$102:$H$102,0))*고양시_Modal_split!D$3 * 0.01</f>
        <v>3.6859058577727918E-3</v>
      </c>
      <c r="BS112" s="207">
        <f>INDEX($A$102:$H$115,MATCH($L112,$B$102:$B$115,0),MATCH($BQ$101,$A$102:$H$102,0))*고양시_Modal_split!E$3 * 0.01</f>
        <v>4.4594523348346119E-4</v>
      </c>
      <c r="BT112" s="207">
        <f>INDEX($A$102:$H$115,MATCH($L112,$B$102:$B$115,0),MATCH($BQ$101,$A$102:$H$102,0))*고양시_Modal_split!F$3 * 0.01</f>
        <v>7.1868502478793315E-4</v>
      </c>
      <c r="BU112" s="207">
        <f>INDEX($A$102:$H$115,MATCH($L112,$B$102:$B$115,0),MATCH($BQ$101,$A$102:$H$102,0))*고양시_Modal_split!G$3 * 0.01</f>
        <v>7.2103622988538548E-5</v>
      </c>
      <c r="BV112" s="207">
        <f>INDEX($A$102:$H$115,MATCH($L112,$B$102:$B$115,0),MATCH($BQ$101,$A$102:$H$102,0))*고양시_Modal_split!H$3 * 0.01</f>
        <v>7.8373503248411473E-7</v>
      </c>
      <c r="BW112" s="207">
        <f>INDEX($A$102:$H$115,MATCH($L112,$B$102:$B$115,0),MATCH($BQ$101,$A$102:$H$102,0))*고양시_Modal_split!I$3 * 0.01</f>
        <v>2.178783390305839E-4</v>
      </c>
      <c r="BX112" s="207">
        <f>INDEX($A$102:$H$115,MATCH($L112,$B$102:$B$115,0),MATCH($BQ$101,$A$102:$H$102,0))*고양시_Modal_split!J$3 * 0.01</f>
        <v>2.3856894388816453E-3</v>
      </c>
      <c r="BY112" s="207">
        <f>INDEX($A$102:$H$115,MATCH($L112,$B$102:$B$115,0),MATCH($BQ$101,$A$102:$H$102,0))*고양시_Modal_split!K$3 * 0.01</f>
        <v>1.1756025487261719E-5</v>
      </c>
      <c r="BZ112" s="207">
        <f>INDEX($A$102:$H$115,MATCH($L112,$B$102:$B$115,0),MATCH($BQ$101,$A$102:$H$102,0))*고양시_Modal_split!L$3 * 0.01</f>
        <v>2.3668797981020264E-4</v>
      </c>
      <c r="CA112" s="207">
        <f>INDEX($A$102:$H$115,MATCH($L112,$B$102:$B$115,0),MATCH($BQ$101,$A$102:$H$102,0))*고양시_Modal_split!M$3 * 0.01</f>
        <v>1.8025905747134637E-5</v>
      </c>
      <c r="CB112" s="207">
        <f>INDEX($A$102:$H$115,MATCH($L112,$B$102:$B$115,0),MATCH($BQ$101,$A$102:$H$102,0))*고양시_Modal_split!N$3 * 0.01</f>
        <v>7.8373503248411473E-6</v>
      </c>
      <c r="CC112" s="207">
        <f>INDEX($A$102:$H$115,MATCH($L112,$B$102:$B$115,0),MATCH($BQ$101,$A$102:$H$102,0))*고양시_Modal_split!O$3 * 0.01</f>
        <v>1.4107230584714063E-5</v>
      </c>
      <c r="CD112" s="207">
        <f>INDEX($A$102:$H$115,MATCH($L112,$B$102:$B$115,0),MATCH($BQ$101,$A$102:$H$102,0))*고양시_Modal_split!P$3 * 0.01</f>
        <v>7.8373503248411469E-3</v>
      </c>
      <c r="CE112" s="304">
        <f t="shared" si="51"/>
        <v>7.5604890093070379E-2</v>
      </c>
      <c r="CF112" s="304">
        <f t="shared" si="47"/>
        <v>12.698921360989647</v>
      </c>
      <c r="CG112" s="304">
        <f t="shared" si="47"/>
        <v>1.5363993736770374</v>
      </c>
      <c r="CH112" s="304">
        <f t="shared" si="47"/>
        <v>2.4760601505480548</v>
      </c>
      <c r="CI112" s="304">
        <f t="shared" si="47"/>
        <v>0.24841606744865982</v>
      </c>
      <c r="CJ112" s="304">
        <f t="shared" si="47"/>
        <v>2.7001746461810848E-3</v>
      </c>
      <c r="CK112" s="304">
        <f t="shared" si="47"/>
        <v>0.75064855163834154</v>
      </c>
      <c r="CL112" s="304">
        <f t="shared" si="47"/>
        <v>8.2193316229752238</v>
      </c>
      <c r="CM112" s="304">
        <f t="shared" si="47"/>
        <v>4.0502619692716284E-2</v>
      </c>
      <c r="CN112" s="304">
        <f t="shared" si="47"/>
        <v>0.8154527431466877</v>
      </c>
      <c r="CO112" s="304">
        <f t="shared" si="47"/>
        <v>6.2104016862164955E-2</v>
      </c>
      <c r="CP112" s="304">
        <f t="shared" si="47"/>
        <v>2.7001746461810857E-2</v>
      </c>
      <c r="CQ112" s="304">
        <f t="shared" si="47"/>
        <v>4.8603143631259539E-2</v>
      </c>
      <c r="CR112" s="304">
        <f t="shared" si="47"/>
        <v>27.001746461810853</v>
      </c>
      <c r="CS112" s="305">
        <f t="shared" si="52"/>
        <v>0</v>
      </c>
      <c r="CV112" s="267"/>
      <c r="CW112" s="267" t="s">
        <v>304</v>
      </c>
      <c r="CX112" s="267">
        <f>INDEX($M$101:$Z$115,MATCH($CW112,$L$101:$L$115,0),MATCH(CX$102,$M$102:$Z$102,0))/INDEX(고양시_재차인원!$D$4:$H$35,MATCH("고양시",고양시_재차인원!$B$4:$B$35,0),MATCH($CX$101,고양시_재차인원!$D$4:$H$4,0))</f>
        <v>1.2426381145506125</v>
      </c>
      <c r="CY112" s="267">
        <f>INDEX($M$101:$Z$115,MATCH($CW112,$L$101:$L$115,0),MATCH(CY$102,$M$102:$Z$102,0))/INDEX(고양시_재차인원!$K$4:$O$20,MATCH("경기도",고양시_재차인원!$K$4:$K$20,0),MATCH(CY$102,고양시_재차인원!$K$4:$O$4,0))</f>
        <v>1.0278885997007859E-5</v>
      </c>
      <c r="CZ112" s="267">
        <f>INDEX($M$101:$Z$115,MATCH($CW112,$L$101:$L$115,0),MATCH(CZ$102,$M$102:$Z$102,0))/INDEX(고양시_재차인원!$K$4:$O$20,MATCH("경기도",고양시_재차인원!$K$4:$K$20,0),MATCH(CZ$102,고양시_재차인원!$K$4:$O$4,0))</f>
        <v>2.857530307168185E-3</v>
      </c>
      <c r="DA112" s="267">
        <f>INDEX($M$101:$Z$115,MATCH($CW112,$L$101:$L$115,0),MATCH(DA$102,$M$102:$Z$102,0))/INDEX(고양시_재차인원!$D$4:$H$35,MATCH("고양시",고양시_재차인원!$B$4:$B$35,0),MATCH($CX$101,고양시_재차인원!$D$4:$H$4,0))</f>
        <v>7.9795175546307662E-2</v>
      </c>
      <c r="DB112" s="267">
        <f>INDEX($AA$101:$AN$115,MATCH($CW112,$L$101:$L$115,0),MATCH(DB$102,$AA$102:$AN$102,0))/INDEX(고양시_재차인원!$D$4:$H$35,MATCH("고양시",고양시_재차인원!$B$4:$B$35,0),MATCH($DB$101,고양시_재차인원!$D$4:$H$4,0))</f>
        <v>7.6755106754580407</v>
      </c>
      <c r="DC112" s="267">
        <f>INDEX($AA$101:$AN$115,MATCH($CW112,$L$101:$L$115,0),MATCH(DC$102,$AA$102:$AN$102,0))/INDEX(고양시_재차인원!$K$4:$O$20,MATCH("경기도",고양시_재차인원!$K$4:$K$20,0),MATCH(DC$102,고양시_재차인원!$K$4:$O$4,0))</f>
        <v>7.9929988244375398E-5</v>
      </c>
      <c r="DD112" s="267">
        <f>INDEX($AA$101:$AN$115,MATCH($CW112,$L$101:$L$115,0),MATCH(DD$102,$AA$102:$AN$102,0))/INDEX(고양시_재차인원!$K$4:$O$20,MATCH("경기도",고양시_재차인원!$K$4:$K$20,0),MATCH(DD$102,고양시_재차인원!$K$4:$O$4,0))</f>
        <v>2.2220536731936358E-2</v>
      </c>
      <c r="DE112" s="267">
        <f>INDEX($AA$101:$AN$115,MATCH($CW112,$L$101:$L$115,0),MATCH(DE$102,$AA$102:$AN$102,0))/INDEX(고양시_재차인원!$D$4:$H$35,MATCH("고양시",고양시_재차인원!$B$4:$B$35,0),MATCH($DB$101,고양시_재차인원!$D$4:$H$4,0))</f>
        <v>0.49287778524097975</v>
      </c>
      <c r="DF112" s="267">
        <f>INDEX($AO$101:$BB$115,MATCH($CW112,$L$101:$L$115,0),MATCH(DF$102,$AO$102:$BB$102,0))/INDEX(고양시_재차인원!$D$4:$H$35,MATCH("고양시",고양시_재차인원!$B$4:$B$35,0),MATCH($DF$101,고양시_재차인원!$D$4:$H$4,0))</f>
        <v>0.36900754345349834</v>
      </c>
      <c r="DG112" s="267">
        <f>INDEX($AO$101:$BB$115,MATCH($CW112,$L$101:$L$115,0),MATCH(DG$102,$AO$102:$BB$102,0))/INDEX(고양시_재차인원!$K$4:$O$20,MATCH("경기도",고양시_재차인원!$K$4:$K$20,0),MATCH(DG$102,고양시_재차인원!$K$4:$O$4,0))</f>
        <v>3.5429249522324062E-6</v>
      </c>
      <c r="DH112" s="267">
        <f>INDEX($AO$101:$BB$115,MATCH($CW112,$L$101:$L$115,0),MATCH(DH$102,$AO$102:$BB$102,0))/INDEX(고양시_재차인원!$K$4:$O$20,MATCH("경기도",고양시_재차인원!$K$4:$K$20,0),MATCH(DH$102,고양시_재차인원!$K$4:$O$4,0))</f>
        <v>9.8493313672060891E-4</v>
      </c>
      <c r="DI112" s="267">
        <f>INDEX($AO$101:$BB$115,MATCH($CW112,$L$101:$L$115,0),MATCH(DI$102,$AO$102:$BB$102,0))/INDEX(고양시_재차인원!$D$4:$H$35,MATCH("고양시",고양시_재차인원!$B$4:$B$35,0),MATCH($DF$101,고양시_재차인원!$D$4:$H$4,0))</f>
        <v>2.3695572639369868E-2</v>
      </c>
      <c r="DJ112" s="267">
        <f>INDEX($BC$101:$BP$115,MATCH($CW112,$L$101:$L$115,0),MATCH(DJ$102,$BC$102:$BP$102,0))/INDEX(고양시_재차인원!$D$4:$H$35,MATCH("고양시",고양시_재차인원!$B$4:$B$35,0),MATCH($DJ$101,고양시_재차인원!$D$4:$H$4,0))</f>
        <v>9.5654996308982816E-4</v>
      </c>
      <c r="DK112" s="267">
        <f>INDEX($BC$101:$BP$115,MATCH($CW112,$L$101:$L$115,0),MATCH(DK$102,$BC$102:$BP$102,0))/INDEX(고양시_재차인원!$K$4:$O$20,MATCH("경기도",고양시_재차인원!$K$4:$K$20,0),MATCH(DK$102,고양시_재차인원!$K$4:$O$4,0))</f>
        <v>9.6079320738506129E-9</v>
      </c>
      <c r="DL112" s="267">
        <f>INDEX($BC$101:$BP$115,MATCH($CW112,$L$101:$L$115,0),MATCH(DL$102,$BC$102:$BP$102,0))/INDEX(고양시_재차인원!$K$4:$O$20,MATCH("경기도",고양시_재차인원!$K$4:$K$20,0),MATCH(DL$102,고양시_재차인원!$K$4:$O$4,0))</f>
        <v>2.6710051165304695E-6</v>
      </c>
      <c r="DM112" s="267">
        <f>INDEX($BC$101:$BP$115,MATCH($CW112,$L$101:$L$115,0),MATCH(DM$102,$BC$102:$BP$102,0))/INDEX(고양시_재차인원!$D$4:$H$35,MATCH("고양시",고양시_재차인원!$B$4:$B$35,0),MATCH($DJ$101,고양시_재차인원!$D$4:$H$4,0))</f>
        <v>6.142421621372062E-5</v>
      </c>
      <c r="DN112" s="267">
        <f>INDEX($BQ$101:$CD$115,MATCH($CW112,$L$101:$L$115,0),MATCH(DN$102,$BQ$102:$CD$102,0))/INDEX(고양시_재차인원!$D$4:$H$35,MATCH("고양시",고양시_재차인원!$B$4:$B$35,0),MATCH($DN$101,고양시_재차인원!$D$4:$H$4,0))</f>
        <v>2.9253221093434854E-3</v>
      </c>
      <c r="DO112" s="267">
        <f>INDEX($BQ$101:$CD$115,MATCH($CW112,$L$101:$L$115,0),MATCH(DO$102,$BQ$102:$CD$102,0))/INDEX(고양시_재차인원!$K$4:$O$20,MATCH("경기도",고양시_재차인원!$K$4:$K$20,0),MATCH(DO$102,고양시_재차인원!$K$4:$O$4,0))</f>
        <v>2.7222474209243306E-8</v>
      </c>
      <c r="DP112" s="267">
        <f>INDEX($BQ$101:$CD$115,MATCH($CW112,$L$101:$L$115,0),MATCH(DP$102,$BQ$102:$CD$102,0))/INDEX(고양시_재차인원!$K$4:$O$20,MATCH("경기도",고양시_재차인원!$K$4:$K$20,0),MATCH(DP$102,고양시_재차인원!$K$4:$O$4,0))</f>
        <v>7.5678478301696385E-6</v>
      </c>
      <c r="DQ112" s="267">
        <f>INDEX($BQ$101:$CD$115,MATCH($CW112,$L$101:$L$115,0),MATCH(DQ$102,$BQ$102:$CD$102,0))/INDEX(고양시_재차인원!$D$4:$H$35,MATCH("고양시",고양시_재차인원!$B$4:$B$35,0),MATCH($DN$101,고양시_재차인원!$D$4:$H$4,0))</f>
        <v>1.8784760302397035E-4</v>
      </c>
      <c r="DR112" s="270">
        <f t="shared" si="53"/>
        <v>9.2910382055345853</v>
      </c>
      <c r="DS112" s="270">
        <f t="shared" si="48"/>
        <v>9.378862959989875E-5</v>
      </c>
      <c r="DT112" s="270">
        <f t="shared" si="48"/>
        <v>2.6073239028771851E-2</v>
      </c>
      <c r="DU112" s="270">
        <f t="shared" si="48"/>
        <v>0.59661780524589481</v>
      </c>
      <c r="DW112" s="278"/>
      <c r="DX112" s="278" t="s">
        <v>304</v>
      </c>
      <c r="DY112" s="281">
        <f t="shared" si="54"/>
        <v>9.8876560107804803</v>
      </c>
      <c r="DZ112" s="281">
        <f t="shared" si="55"/>
        <v>2.6167027658371748E-2</v>
      </c>
      <c r="EB112" s="278"/>
      <c r="EC112" s="278" t="s">
        <v>304</v>
      </c>
      <c r="ED112" s="281">
        <f t="shared" si="56"/>
        <v>9.8876560107804803</v>
      </c>
      <c r="EE112" s="281">
        <f t="shared" si="49"/>
        <v>2.6167027658371748E-2</v>
      </c>
      <c r="EL112" s="306" t="s">
        <v>667</v>
      </c>
      <c r="EM112" s="306" t="s">
        <v>220</v>
      </c>
      <c r="EN112" s="306">
        <v>51875.97</v>
      </c>
      <c r="EO112" s="306">
        <v>0.27933686355182291</v>
      </c>
      <c r="EP112" s="307">
        <v>849110</v>
      </c>
      <c r="EQ112" s="308">
        <f t="shared" si="57"/>
        <v>1144.9914996118271</v>
      </c>
      <c r="ER112" s="308">
        <f t="shared" si="58"/>
        <v>3.0301442734533675</v>
      </c>
      <c r="ET112" s="420" t="s">
        <v>667</v>
      </c>
      <c r="EU112" s="420" t="s">
        <v>220</v>
      </c>
      <c r="EV112" s="420">
        <v>51875.97</v>
      </c>
      <c r="EW112" s="420">
        <v>0.27933686355182291</v>
      </c>
      <c r="EX112" s="421">
        <v>849110</v>
      </c>
      <c r="EY112" s="422">
        <f t="shared" si="59"/>
        <v>1112.3592418728899</v>
      </c>
      <c r="EZ112" s="422">
        <f t="shared" si="60"/>
        <v>2.9437851616599464</v>
      </c>
      <c r="FA112">
        <v>0</v>
      </c>
      <c r="FD112" s="306" t="s">
        <v>667</v>
      </c>
      <c r="FE112" s="306" t="s">
        <v>220</v>
      </c>
      <c r="FF112" s="306">
        <v>51875.97</v>
      </c>
      <c r="FG112" s="306">
        <v>0.27933686355182291</v>
      </c>
      <c r="FH112" s="307">
        <v>849110</v>
      </c>
      <c r="FI112" s="308">
        <f t="shared" si="61"/>
        <v>1112.3592418728899</v>
      </c>
      <c r="FJ112" s="308">
        <f t="shared" si="50"/>
        <v>2.9437851616599464</v>
      </c>
      <c r="FL112" s="101"/>
      <c r="FM112" s="101"/>
      <c r="FN112" s="101"/>
      <c r="FO112" s="101"/>
      <c r="FP112" s="374"/>
      <c r="FQ112" s="404"/>
      <c r="FR112" s="404"/>
    </row>
    <row r="113" spans="1:174" ht="25">
      <c r="A113" s="205"/>
      <c r="B113" s="205" t="s">
        <v>305</v>
      </c>
      <c r="C113" s="400">
        <f>$AB71*KTDB_TripDistribution_2045!L$12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9.14209627119949</v>
      </c>
      <c r="D113" s="400">
        <f>$AB71*KTDB_TripDistribution_2045!M$12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71.09015974091308</v>
      </c>
      <c r="E113" s="400">
        <f>$AB71*KTDB_TripDistribution_2045!N$12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3.1510964324706023</v>
      </c>
      <c r="F113" s="400">
        <f>$AB71*KTDB_TripDistribution_2045!O$12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8.5453462575474145E-3</v>
      </c>
      <c r="G113" s="400">
        <f>$AB71*KTDB_TripDistribution_2045!P$12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2.421181439638426E-2</v>
      </c>
      <c r="H113" s="400">
        <f>$AB71*KTDB_TripDistribution_2045!Q$12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83.416109605237111</v>
      </c>
      <c r="I113" s="56"/>
      <c r="J113" s="56"/>
      <c r="K113" s="206"/>
      <c r="L113" s="206" t="s">
        <v>305</v>
      </c>
      <c r="M113" s="206">
        <f>INDEX($A$102:$H$115,MATCH($L113,$B$102:$B$115,0),MATCH($M$101,$A$102:$H$102,0))*고양시_Modal_split!C$3 * 0.01</f>
        <v>2.5597869559358572E-2</v>
      </c>
      <c r="N113" s="206">
        <f>INDEX($A$102:$H$115,MATCH($L113,$B$102:$B$115,0),MATCH($M$101,$A$102:$H$102,0))*고양시_Modal_split!D$3 * 0.01</f>
        <v>4.2995278763451203</v>
      </c>
      <c r="O113" s="206">
        <f>INDEX($A$102:$H$115,MATCH($L113,$B$102:$B$115,0),MATCH($M$101,$A$102:$H$102,0))*고양시_Modal_split!E$3 * 0.01</f>
        <v>0.5201852778312509</v>
      </c>
      <c r="P113" s="206">
        <f>INDEX($A$102:$H$115,MATCH($L113,$B$102:$B$115,0),MATCH($M$101,$A$102:$H$102,0))*고양시_Modal_split!F$3 * 0.01</f>
        <v>0.83833022806899327</v>
      </c>
      <c r="Q113" s="206">
        <f>INDEX($A$102:$H$115,MATCH($L113,$B$102:$B$115,0),MATCH($M$101,$A$102:$H$102,0))*고양시_Modal_split!G$3 * 0.01</f>
        <v>8.4107285695035297E-2</v>
      </c>
      <c r="R113" s="206">
        <f>INDEX($A$102:$H$115,MATCH($L113,$B$102:$B$115,0),MATCH($M$101,$A$102:$H$102,0))*고양시_Modal_split!H$3 * 0.01</f>
        <v>9.1420962711994899E-4</v>
      </c>
      <c r="S113" s="206">
        <f>INDEX($A$102:$H$115,MATCH($L113,$B$102:$B$115,0),MATCH($M$101,$A$102:$H$102,0))*고양시_Modal_split!I$3 * 0.01</f>
        <v>0.25415027633934584</v>
      </c>
      <c r="T113" s="206">
        <f>INDEX($A$102:$H$115,MATCH($L113,$B$102:$B$115,0),MATCH($M$101,$A$102:$H$102,0))*고양시_Modal_split!J$3 * 0.01</f>
        <v>2.7828541049531248</v>
      </c>
      <c r="U113" s="206">
        <f>INDEX($A$102:$H$115,MATCH($L113,$B$102:$B$115,0),MATCH($M$101,$A$102:$H$102,0))*고양시_Modal_split!K$3 * 0.01</f>
        <v>1.3713144406799233E-2</v>
      </c>
      <c r="V113" s="206">
        <f>INDEX($A$102:$H$115,MATCH($L113,$B$102:$B$115,0),MATCH($M$101,$A$102:$H$102,0))*고양시_Modal_split!L$3 * 0.01</f>
        <v>0.27609130739022464</v>
      </c>
      <c r="W113" s="206">
        <f>INDEX($A$102:$H$115,MATCH($L113,$B$102:$B$115,0),MATCH($M$101,$A$102:$H$102,0))*고양시_Modal_split!M$3 * 0.01</f>
        <v>2.1026821423758824E-2</v>
      </c>
      <c r="X113" s="206">
        <f>INDEX($A$102:$H$115,MATCH($L113,$B$102:$B$115,0),MATCH($M$101,$A$102:$H$102,0))*고양시_Modal_split!N$3 * 0.01</f>
        <v>9.1420962711994905E-3</v>
      </c>
      <c r="Y113" s="206">
        <f>INDEX($A$102:$H$115,MATCH($L113,$B$102:$B$115,0),MATCH($M$101,$A$102:$H$102,0))*고양시_Modal_split!O$3 * 0.01</f>
        <v>1.645577328815908E-2</v>
      </c>
      <c r="Z113" s="209">
        <f>INDEX($A$102:$H$115,MATCH($L113,$B$102:$B$115,0),MATCH($M$101,$A$102:$H$102,0))*고양시_Modal_split!P$3 * 0.01</f>
        <v>9.14209627119949</v>
      </c>
      <c r="AA113" s="207">
        <f>INDEX($A$102:$H$115,MATCH($L113,$B$102:$B$115,0),MATCH($AA$101,$A$102:$H$102,0))*고양시_Modal_split!C$3 * 0.01</f>
        <v>0.19905244727455659</v>
      </c>
      <c r="AB113" s="207">
        <f>INDEX($A$102:$H$115,MATCH($L113,$B$102:$B$115,0),MATCH($AA$101,$A$102:$H$102,0))*고양시_Modal_split!D$3 * 0.01</f>
        <v>33.433702126151424</v>
      </c>
      <c r="AC113" s="207">
        <f>INDEX($A$102:$H$115,MATCH($L113,$B$102:$B$115,0),MATCH($AA$101,$A$102:$H$102,0))*고양시_Modal_split!E$3 * 0.01</f>
        <v>4.0450300892579536</v>
      </c>
      <c r="AD113" s="207">
        <f>INDEX($A$102:$H$115,MATCH($L113,$B$102:$B$115,0),MATCH($AA$101,$A$102:$H$102,0))*고양시_Modal_split!F$3 * 0.01</f>
        <v>6.5189676482417296</v>
      </c>
      <c r="AE113" s="207">
        <f>INDEX($A$102:$H$115,MATCH($L113,$B$102:$B$115,0),MATCH($AA$101,$A$102:$H$102,0))*고양시_Modal_split!G$3 * 0.01</f>
        <v>0.65402946961640029</v>
      </c>
      <c r="AF113" s="207">
        <f>INDEX($A$102:$H$115,MATCH($L113,$B$102:$B$115,0),MATCH($AA$101,$A$102:$H$102,0))*고양시_Modal_split!H$3 * 0.01</f>
        <v>7.1090159740913083E-3</v>
      </c>
      <c r="AG113" s="207">
        <f>INDEX($A$102:$H$115,MATCH($L113,$B$102:$B$115,0),MATCH($AA$101,$A$102:$H$102,0))*고양시_Modal_split!I$3 * 0.01</f>
        <v>1.9763064407973836</v>
      </c>
      <c r="AH113" s="207">
        <f>INDEX($A$102:$H$115,MATCH($L113,$B$102:$B$115,0),MATCH($AA$101,$A$102:$H$102,0))*고양시_Modal_split!J$3 * 0.01</f>
        <v>21.639844625133943</v>
      </c>
      <c r="AI113" s="207">
        <f>INDEX($A$102:$H$115,MATCH($L113,$B$102:$B$115,0),MATCH($AA$101,$A$102:$H$102,0))*고양시_Modal_split!K$3 * 0.01</f>
        <v>0.10663523961136961</v>
      </c>
      <c r="AJ113" s="207">
        <f>INDEX($A$102:$H$115,MATCH($L113,$B$102:$B$115,0),MATCH($AA$101,$A$102:$H$102,0))*고양시_Modal_split!L$3 * 0.01</f>
        <v>2.1469228241755749</v>
      </c>
      <c r="AK113" s="207">
        <f>INDEX($A$102:$H$115,MATCH($L113,$B$102:$B$115,0),MATCH($AA$101,$A$102:$H$102,0))*고양시_Modal_split!M$3 * 0.01</f>
        <v>0.16350736740410007</v>
      </c>
      <c r="AL113" s="207">
        <f>INDEX($A$102:$H$115,MATCH($L113,$B$102:$B$115,0),MATCH($AA$101,$A$102:$H$102,0))*고양시_Modal_split!N$3 * 0.01</f>
        <v>7.1090159740913081E-2</v>
      </c>
      <c r="AM113" s="207">
        <f>INDEX($A$102:$H$115,MATCH($L113,$B$102:$B$115,0),MATCH($AA$101,$A$102:$H$102,0))*고양시_Modal_split!O$3 * 0.01</f>
        <v>0.12796228753364353</v>
      </c>
      <c r="AN113" s="207">
        <f>INDEX($A$102:$H$115,MATCH($L113,$B$102:$B$115,0),MATCH($AA$101,$A$102:$H$102,0))*고양시_Modal_split!P$3 * 0.01</f>
        <v>71.09015974091308</v>
      </c>
      <c r="AO113" s="303">
        <f>INDEX($A$102:$H$115,MATCH($L113,$B$102:$B$115,0),MATCH($AO$101,$A$102:$H$102,0))*고양시_Modal_split!C$3 * 0.01</f>
        <v>8.8230700109176857E-3</v>
      </c>
      <c r="AP113" s="303">
        <f>INDEX($A$102:$H$115,MATCH($L113,$B$102:$B$115,0),MATCH($AO$101,$A$102:$H$102,0))*고양시_Modal_split!D$3 * 0.01</f>
        <v>1.4819606521909241</v>
      </c>
      <c r="AQ113" s="303">
        <f>INDEX($A$102:$H$115,MATCH($L113,$B$102:$B$115,0),MATCH($AO$101,$A$102:$H$102,0))*고양시_Modal_split!E$3 * 0.01</f>
        <v>0.17929738700757725</v>
      </c>
      <c r="AR113" s="303">
        <f>INDEX($A$102:$H$115,MATCH($L113,$B$102:$B$115,0),MATCH($AO$101,$A$102:$H$102,0))*고양시_Modal_split!F$3 * 0.01</f>
        <v>0.28895554285755426</v>
      </c>
      <c r="AS113" s="303">
        <f>INDEX($A$102:$H$115,MATCH($L113,$B$102:$B$115,0),MATCH($AO$101,$A$102:$H$102,0))*고양시_Modal_split!G$3 * 0.01</f>
        <v>2.8990087178729539E-2</v>
      </c>
      <c r="AT113" s="303">
        <f>INDEX($A$102:$H$115,MATCH($L113,$B$102:$B$115,0),MATCH($AO$101,$A$102:$H$102,0))*고양시_Modal_split!H$3 * 0.01</f>
        <v>3.1510964324706021E-4</v>
      </c>
      <c r="AU113" s="303">
        <f>INDEX($A$102:$H$115,MATCH($L113,$B$102:$B$115,0),MATCH($AO$101,$A$102:$H$102,0))*고양시_Modal_split!I$3 * 0.01</f>
        <v>8.7600480822682736E-2</v>
      </c>
      <c r="AV113" s="303">
        <f>INDEX($A$102:$H$115,MATCH($L113,$B$102:$B$115,0),MATCH($AO$101,$A$102:$H$102,0))*고양시_Modal_split!J$3 * 0.01</f>
        <v>0.95919375404405149</v>
      </c>
      <c r="AW113" s="303">
        <f>INDEX($A$102:$H$115,MATCH($L113,$B$102:$B$115,0),MATCH($AO$101,$A$102:$H$102,0))*고양시_Modal_split!K$3 * 0.01</f>
        <v>4.7266446487059036E-3</v>
      </c>
      <c r="AX113" s="303">
        <f>INDEX($A$102:$H$115,MATCH($L113,$B$102:$B$115,0),MATCH($AO$101,$A$102:$H$102,0))*고양시_Modal_split!L$3 * 0.01</f>
        <v>9.5163112260612193E-2</v>
      </c>
      <c r="AY113" s="303">
        <f>INDEX($A$102:$H$115,MATCH($L113,$B$102:$B$115,0),MATCH($AO$101,$A$102:$H$102,0))*고양시_Modal_split!M$3 * 0.01</f>
        <v>7.2475217946823848E-3</v>
      </c>
      <c r="AZ113" s="303">
        <f>INDEX($A$102:$H$115,MATCH($L113,$B$102:$B$115,0),MATCH($AO$101,$A$102:$H$102,0))*고양시_Modal_split!N$3 * 0.01</f>
        <v>3.1510964324706027E-3</v>
      </c>
      <c r="BA113" s="207">
        <f>INDEX($A$102:$H$115,MATCH($L113,$B$102:$B$115,0),MATCH($AO$101,$A$102:$H$102,0))*고양시_Modal_split!O$3 * 0.01</f>
        <v>5.6719735784470839E-3</v>
      </c>
      <c r="BB113" s="207">
        <f>INDEX($A$102:$H$115,MATCH($L113,$B$102:$B$115,0),MATCH($AO$101,$A$102:$H$102,0))*고양시_Modal_split!P$3 * 0.01</f>
        <v>3.1510964324706028</v>
      </c>
      <c r="BC113" s="207">
        <f>INDEX($A$102:$H$115,MATCH($L113,$B$102:$B$115,0),MATCH($BC$101,$A$102:$H$102,0))*고양시_Modal_split!C$3 * 0.01</f>
        <v>2.392696952113276E-5</v>
      </c>
      <c r="BD113" s="207">
        <f>INDEX($A$102:$H$115,MATCH($L113,$B$102:$B$115,0),MATCH($BC$101,$A$102:$H$102,0))*고양시_Modal_split!D$3 * 0.01</f>
        <v>4.0188763449245492E-3</v>
      </c>
      <c r="BE113" s="207">
        <f>INDEX($A$102:$H$115,MATCH($L113,$B$102:$B$115,0),MATCH($BC$101,$A$102:$H$102,0))*고양시_Modal_split!E$3 * 0.01</f>
        <v>4.8623020205444781E-4</v>
      </c>
      <c r="BF113" s="207">
        <f>INDEX($A$102:$H$115,MATCH($L113,$B$102:$B$115,0),MATCH($BC$101,$A$102:$H$102,0))*고양시_Modal_split!F$3 * 0.01</f>
        <v>7.8360825181709797E-4</v>
      </c>
      <c r="BG113" s="207">
        <f>INDEX($A$102:$H$115,MATCH($L113,$B$102:$B$115,0),MATCH($BC$101,$A$102:$H$102,0))*고양시_Modal_split!G$3 * 0.01</f>
        <v>7.8617185569436197E-5</v>
      </c>
      <c r="BH113" s="207">
        <f>INDEX($A$102:$H$115,MATCH($L113,$B$102:$B$115,0),MATCH($BC$101,$A$102:$H$102,0))*고양시_Modal_split!H$3 * 0.01</f>
        <v>8.5453462575474157E-7</v>
      </c>
      <c r="BI113" s="207">
        <f>INDEX($A$102:$H$115,MATCH($L113,$B$102:$B$115,0),MATCH($BC$101,$A$102:$H$102,0))*고양시_Modal_split!I$3 * 0.01</f>
        <v>2.375606259598181E-4</v>
      </c>
      <c r="BJ113" s="207">
        <f>INDEX($A$102:$H$115,MATCH($L113,$B$102:$B$115,0),MATCH($BC$101,$A$102:$H$102,0))*고양시_Modal_split!J$3 * 0.01</f>
        <v>2.6012034007974333E-3</v>
      </c>
      <c r="BK113" s="207">
        <f>INDEX($A$102:$H$115,MATCH($L113,$B$102:$B$115,0),MATCH($BC$101,$A$102:$H$102,0))*고양시_Modal_split!K$3 * 0.01</f>
        <v>1.2818019386321121E-5</v>
      </c>
      <c r="BL113" s="207">
        <f>INDEX($A$102:$H$115,MATCH($L113,$B$102:$B$115,0),MATCH($BC$101,$A$102:$H$102,0))*고양시_Modal_split!L$3 * 0.01</f>
        <v>2.5806945697793193E-4</v>
      </c>
      <c r="BM113" s="207">
        <f>INDEX($A$102:$H$115,MATCH($L113,$B$102:$B$115,0),MATCH($BC$101,$A$102:$H$102,0))*고양시_Modal_split!M$3 * 0.01</f>
        <v>1.9654296392359049E-5</v>
      </c>
      <c r="BN113" s="207">
        <f>INDEX($A$102:$H$115,MATCH($L113,$B$102:$B$115,0),MATCH($BC$101,$A$102:$H$102,0))*고양시_Modal_split!N$3 * 0.01</f>
        <v>8.5453462575474151E-6</v>
      </c>
      <c r="BO113" s="207">
        <f>INDEX($A$102:$H$115,MATCH($L113,$B$102:$B$115,0),MATCH($BC$101,$A$102:$H$102,0))*고양시_Modal_split!O$3 * 0.01</f>
        <v>1.5381623263585345E-5</v>
      </c>
      <c r="BP113" s="207">
        <f>INDEX($A$102:$H$115,MATCH($L113,$B$102:$B$115,0),MATCH($BC$101,$A$102:$H$102,0))*고양시_Modal_split!P$3 * 0.01</f>
        <v>8.5453462575474145E-3</v>
      </c>
      <c r="BQ113" s="207">
        <f>INDEX($A$102:$H$115,MATCH($L113,$B$102:$B$115,0),MATCH($BQ$101,$A$102:$H$102,0))*고양시_Modal_split!C$3 * 0.01</f>
        <v>6.779308030987593E-5</v>
      </c>
      <c r="BR113" s="207">
        <f>INDEX($A$102:$H$115,MATCH($L113,$B$102:$B$115,0),MATCH($BQ$101,$A$102:$H$102,0))*고양시_Modal_split!D$3 * 0.01</f>
        <v>1.1386816310619519E-2</v>
      </c>
      <c r="BS113" s="207">
        <f>INDEX($A$102:$H$115,MATCH($L113,$B$102:$B$115,0),MATCH($BQ$101,$A$102:$H$102,0))*고양시_Modal_split!E$3 * 0.01</f>
        <v>1.3776522391542641E-3</v>
      </c>
      <c r="BT113" s="207">
        <f>INDEX($A$102:$H$115,MATCH($L113,$B$102:$B$115,0),MATCH($BQ$101,$A$102:$H$102,0))*고양시_Modal_split!F$3 * 0.01</f>
        <v>2.2202233801484369E-3</v>
      </c>
      <c r="BU113" s="207">
        <f>INDEX($A$102:$H$115,MATCH($L113,$B$102:$B$115,0),MATCH($BQ$101,$A$102:$H$102,0))*고양시_Modal_split!G$3 * 0.01</f>
        <v>2.2274869244673517E-4</v>
      </c>
      <c r="BV113" s="207">
        <f>INDEX($A$102:$H$115,MATCH($L113,$B$102:$B$115,0),MATCH($BQ$101,$A$102:$H$102,0))*고양시_Modal_split!H$3 * 0.01</f>
        <v>2.421181439638426E-6</v>
      </c>
      <c r="BW113" s="207">
        <f>INDEX($A$102:$H$115,MATCH($L113,$B$102:$B$115,0),MATCH($BQ$101,$A$102:$H$102,0))*고양시_Modal_split!I$3 * 0.01</f>
        <v>6.7308844021948247E-4</v>
      </c>
      <c r="BX113" s="207">
        <f>INDEX($A$102:$H$115,MATCH($L113,$B$102:$B$115,0),MATCH($BQ$101,$A$102:$H$102,0))*고양시_Modal_split!J$3 * 0.01</f>
        <v>7.37007630225937E-3</v>
      </c>
      <c r="BY113" s="207">
        <f>INDEX($A$102:$H$115,MATCH($L113,$B$102:$B$115,0),MATCH($BQ$101,$A$102:$H$102,0))*고양시_Modal_split!K$3 * 0.01</f>
        <v>3.6317721594576394E-5</v>
      </c>
      <c r="BZ113" s="207">
        <f>INDEX($A$102:$H$115,MATCH($L113,$B$102:$B$115,0),MATCH($BQ$101,$A$102:$H$102,0))*고양시_Modal_split!L$3 * 0.01</f>
        <v>7.3119679477080465E-4</v>
      </c>
      <c r="CA113" s="207">
        <f>INDEX($A$102:$H$115,MATCH($L113,$B$102:$B$115,0),MATCH($BQ$101,$A$102:$H$102,0))*고양시_Modal_split!M$3 * 0.01</f>
        <v>5.5687173111683792E-5</v>
      </c>
      <c r="CB113" s="207">
        <f>INDEX($A$102:$H$115,MATCH($L113,$B$102:$B$115,0),MATCH($BQ$101,$A$102:$H$102,0))*고양시_Modal_split!N$3 * 0.01</f>
        <v>2.4211814396384263E-5</v>
      </c>
      <c r="CC113" s="207">
        <f>INDEX($A$102:$H$115,MATCH($L113,$B$102:$B$115,0),MATCH($BQ$101,$A$102:$H$102,0))*고양시_Modal_split!O$3 * 0.01</f>
        <v>4.3581265913491674E-5</v>
      </c>
      <c r="CD113" s="207">
        <f>INDEX($A$102:$H$115,MATCH($L113,$B$102:$B$115,0),MATCH($BQ$101,$A$102:$H$102,0))*고양시_Modal_split!P$3 * 0.01</f>
        <v>2.421181439638426E-2</v>
      </c>
      <c r="CE113" s="304">
        <f t="shared" si="51"/>
        <v>0.23356510689466389</v>
      </c>
      <c r="CF113" s="304">
        <f t="shared" si="47"/>
        <v>39.230596347343003</v>
      </c>
      <c r="CG113" s="304">
        <f t="shared" si="47"/>
        <v>4.74637663653799</v>
      </c>
      <c r="CH113" s="304">
        <f t="shared" si="47"/>
        <v>7.6492572508002423</v>
      </c>
      <c r="CI113" s="304">
        <f t="shared" si="47"/>
        <v>0.76742820836818137</v>
      </c>
      <c r="CJ113" s="304">
        <f t="shared" si="47"/>
        <v>8.341610960523712E-3</v>
      </c>
      <c r="CK113" s="304">
        <f t="shared" si="47"/>
        <v>2.3189678470255912</v>
      </c>
      <c r="CL113" s="304">
        <f t="shared" si="47"/>
        <v>25.391863763834174</v>
      </c>
      <c r="CM113" s="304">
        <f t="shared" si="47"/>
        <v>0.12512416440785565</v>
      </c>
      <c r="CN113" s="304">
        <f t="shared" si="47"/>
        <v>2.5191665100781604</v>
      </c>
      <c r="CO113" s="304">
        <f t="shared" si="47"/>
        <v>0.19185705209204534</v>
      </c>
      <c r="CP113" s="304">
        <f t="shared" si="47"/>
        <v>8.3416109605237113E-2</v>
      </c>
      <c r="CQ113" s="304">
        <f t="shared" si="47"/>
        <v>0.15014899728942679</v>
      </c>
      <c r="CR113" s="304">
        <f t="shared" si="47"/>
        <v>83.416109605237111</v>
      </c>
      <c r="CS113" s="305">
        <f t="shared" si="52"/>
        <v>0</v>
      </c>
      <c r="CV113" s="267"/>
      <c r="CW113" s="267" t="s">
        <v>305</v>
      </c>
      <c r="CX113" s="267">
        <f>INDEX($M$101:$Z$115,MATCH($CW113,$L$101:$L$115,0),MATCH(CX$102,$M$102:$Z$102,0))/INDEX(고양시_재차인원!$D$4:$H$35,MATCH("고양시",고양시_재차인원!$B$4:$B$35,0),MATCH($CX$101,고양시_재차인원!$D$4:$H$4,0))</f>
        <v>3.8388641753081427</v>
      </c>
      <c r="CY113" s="267">
        <f>INDEX($M$101:$Z$115,MATCH($CW113,$L$101:$L$115,0),MATCH(CY$102,$M$102:$Z$102,0))/INDEX(고양시_재차인원!$K$4:$O$20,MATCH("경기도",고양시_재차인원!$K$4:$K$20,0),MATCH(CY$102,고양시_재차인원!$K$4:$O$4,0))</f>
        <v>3.1754415669327857E-5</v>
      </c>
      <c r="CZ113" s="267">
        <f>INDEX($M$101:$Z$115,MATCH($CW113,$L$101:$L$115,0),MATCH(CZ$102,$M$102:$Z$102,0))/INDEX(고양시_재차인원!$K$4:$O$20,MATCH("경기도",고양시_재차인원!$K$4:$K$20,0),MATCH(CZ$102,고양시_재차인원!$K$4:$O$4,0))</f>
        <v>8.8277275560731446E-3</v>
      </c>
      <c r="DA113" s="267">
        <f>INDEX($M$101:$Z$115,MATCH($CW113,$L$101:$L$115,0),MATCH(DA$102,$M$102:$Z$102,0))/INDEX(고양시_재차인원!$D$4:$H$35,MATCH("고양시",고양시_재차인원!$B$4:$B$35,0),MATCH($CX$101,고양시_재차인원!$D$4:$H$4,0))</f>
        <v>0.24651009588412912</v>
      </c>
      <c r="DB113" s="267">
        <f>INDEX($AA$101:$AN$115,MATCH($CW113,$L$101:$L$115,0),MATCH(DB$102,$AA$102:$AN$102,0))/INDEX(고양시_재차인원!$D$4:$H$35,MATCH("고양시",고양시_재차인원!$B$4:$B$35,0),MATCH($DB$101,고양시_재차인원!$D$4:$H$4,0))</f>
        <v>23.711845479540017</v>
      </c>
      <c r="DC113" s="267">
        <f>INDEX($AA$101:$AN$115,MATCH($CW113,$L$101:$L$115,0),MATCH(DC$102,$AA$102:$AN$102,0))/INDEX(고양시_재차인원!$K$4:$O$20,MATCH("경기도",고양시_재차인원!$K$4:$K$20,0),MATCH(DC$102,고양시_재차인원!$K$4:$O$4,0))</f>
        <v>2.4692657082637403E-4</v>
      </c>
      <c r="DD113" s="267">
        <f>INDEX($AA$101:$AN$115,MATCH($CW113,$L$101:$L$115,0),MATCH(DD$102,$AA$102:$AN$102,0))/INDEX(고양시_재차인원!$K$4:$O$20,MATCH("경기도",고양시_재차인원!$K$4:$K$20,0),MATCH(DD$102,고양시_재차인원!$K$4:$O$4,0))</f>
        <v>6.8645586689731974E-2</v>
      </c>
      <c r="DE113" s="267">
        <f>INDEX($AA$101:$AN$115,MATCH($CW113,$L$101:$L$115,0),MATCH(DE$102,$AA$102:$AN$102,0))/INDEX(고양시_재차인원!$D$4:$H$35,MATCH("고양시",고양시_재차인원!$B$4:$B$35,0),MATCH($DB$101,고양시_재차인원!$D$4:$H$4,0))</f>
        <v>1.5226403008337412</v>
      </c>
      <c r="DF113" s="267">
        <f>INDEX($AO$101:$BB$115,MATCH($CW113,$L$101:$L$115,0),MATCH(DF$102,$AO$102:$BB$102,0))/INDEX(고양시_재차인원!$D$4:$H$35,MATCH("고양시",고양시_재차인원!$B$4:$B$35,0),MATCH($DF$101,고양시_재차인원!$D$4:$H$4,0))</f>
        <v>1.139969732454557</v>
      </c>
      <c r="DG113" s="267">
        <f>INDEX($AO$101:$BB$115,MATCH($CW113,$L$101:$L$115,0),MATCH(DG$102,$AO$102:$BB$102,0))/INDEX(고양시_재차인원!$K$4:$O$20,MATCH("경기도",고양시_재차인원!$K$4:$K$20,0),MATCH(DG$102,고양시_재차인원!$K$4:$O$4,0))</f>
        <v>1.0945107441717965E-5</v>
      </c>
      <c r="DH113" s="267">
        <f>INDEX($AO$101:$BB$115,MATCH($CW113,$L$101:$L$115,0),MATCH(DH$102,$AO$102:$BB$102,0))/INDEX(고양시_재차인원!$K$4:$O$20,MATCH("경기도",고양시_재차인원!$K$4:$K$20,0),MATCH(DH$102,고양시_재차인원!$K$4:$O$4,0))</f>
        <v>3.0427398687975942E-3</v>
      </c>
      <c r="DI113" s="267">
        <f>INDEX($AO$101:$BB$115,MATCH($CW113,$L$101:$L$115,0),MATCH(DI$102,$AO$102:$BB$102,0))/INDEX(고양시_재차인원!$D$4:$H$35,MATCH("고양시",고양시_재차인원!$B$4:$B$35,0),MATCH($DF$101,고양시_재차인원!$D$4:$H$4,0))</f>
        <v>7.3202394046624764E-2</v>
      </c>
      <c r="DJ113" s="267">
        <f>INDEX($BC$101:$BP$115,MATCH($CW113,$L$101:$L$115,0),MATCH(DJ$102,$BC$102:$BP$102,0))/INDEX(고양시_재차인원!$D$4:$H$35,MATCH("고양시",고양시_재차인원!$B$4:$B$35,0),MATCH($DJ$101,고양시_재차인원!$D$4:$H$4,0))</f>
        <v>2.9550561359739332E-3</v>
      </c>
      <c r="DK113" s="267">
        <f>INDEX($BC$101:$BP$115,MATCH($CW113,$L$101:$L$115,0),MATCH(DK$102,$BC$102:$BP$102,0))/INDEX(고양시_재차인원!$K$4:$O$20,MATCH("경기도",고양시_재차인원!$K$4:$K$20,0),MATCH(DK$102,고양시_재차인원!$K$4:$O$4,0))</f>
        <v>2.9681647299574213E-8</v>
      </c>
      <c r="DL113" s="267">
        <f>INDEX($BC$101:$BP$115,MATCH($CW113,$L$101:$L$115,0),MATCH(DL$102,$BC$102:$BP$102,0))/INDEX(고양시_재차인원!$K$4:$O$20,MATCH("경기도",고양시_재차인원!$K$4:$K$20,0),MATCH(DL$102,고양시_재차인원!$K$4:$O$4,0))</f>
        <v>8.2514979492816289E-6</v>
      </c>
      <c r="DM113" s="267">
        <f>INDEX($BC$101:$BP$115,MATCH($CW113,$L$101:$L$115,0),MATCH(DM$102,$BC$102:$BP$102,0))/INDEX(고양시_재차인원!$D$4:$H$35,MATCH("고양시",고양시_재차인원!$B$4:$B$35,0),MATCH($DJ$101,고양시_재차인원!$D$4:$H$4,0))</f>
        <v>1.8975695366024405E-4</v>
      </c>
      <c r="DN113" s="267">
        <f>INDEX($BQ$101:$CD$115,MATCH($CW113,$L$101:$L$115,0),MATCH(DN$102,$BQ$102:$CD$102,0))/INDEX(고양시_재차인원!$D$4:$H$35,MATCH("고양시",고양시_재차인원!$B$4:$B$35,0),MATCH($DN$101,고양시_재차인원!$D$4:$H$4,0))</f>
        <v>9.0371558020789829E-3</v>
      </c>
      <c r="DO113" s="267">
        <f>INDEX($BQ$101:$CD$115,MATCH($CW113,$L$101:$L$115,0),MATCH(DO$102,$BQ$102:$CD$102,0))/INDEX(고양시_재차인원!$K$4:$O$20,MATCH("경기도",고양시_재차인원!$K$4:$K$20,0),MATCH(DO$102,고양시_재차인원!$K$4:$O$4,0))</f>
        <v>8.4098000682126647E-8</v>
      </c>
      <c r="DP113" s="267">
        <f>INDEX($BQ$101:$CD$115,MATCH($CW113,$L$101:$L$115,0),MATCH(DP$102,$BQ$102:$CD$102,0))/INDEX(고양시_재차인원!$K$4:$O$20,MATCH("경기도",고양시_재차인원!$K$4:$K$20,0),MATCH(DP$102,고양시_재차인원!$K$4:$O$4,0))</f>
        <v>2.3379244189631207E-5</v>
      </c>
      <c r="DQ113" s="267">
        <f>INDEX($BQ$101:$CD$115,MATCH($CW113,$L$101:$L$115,0),MATCH(DQ$102,$BQ$102:$CD$102,0))/INDEX(고양시_재차인원!$D$4:$H$35,MATCH("고양시",고양시_재차인원!$B$4:$B$35,0),MATCH($DN$101,고양시_재차인원!$D$4:$H$4,0))</f>
        <v>5.8031491648476564E-4</v>
      </c>
      <c r="DR113" s="270">
        <f t="shared" si="53"/>
        <v>28.702671599240769</v>
      </c>
      <c r="DS113" s="270">
        <f t="shared" si="48"/>
        <v>2.8973987358540151E-4</v>
      </c>
      <c r="DT113" s="270">
        <f t="shared" si="48"/>
        <v>8.0547684856741616E-2</v>
      </c>
      <c r="DU113" s="270">
        <f t="shared" si="48"/>
        <v>1.8431228626346401</v>
      </c>
      <c r="DW113" s="278"/>
      <c r="DX113" s="278" t="s">
        <v>305</v>
      </c>
      <c r="DY113" s="281">
        <f t="shared" si="54"/>
        <v>30.54579446187541</v>
      </c>
      <c r="DZ113" s="281">
        <f t="shared" si="55"/>
        <v>8.0837424730327012E-2</v>
      </c>
      <c r="EB113" s="278"/>
      <c r="EC113" s="278" t="s">
        <v>305</v>
      </c>
      <c r="ED113" s="281">
        <f t="shared" si="56"/>
        <v>30.54579446187541</v>
      </c>
      <c r="EE113" s="281">
        <f t="shared" si="49"/>
        <v>8.0837424730327012E-2</v>
      </c>
      <c r="EL113" s="306" t="s">
        <v>667</v>
      </c>
      <c r="EM113" s="306" t="s">
        <v>221</v>
      </c>
      <c r="EN113" s="306">
        <v>22244.514299999999</v>
      </c>
      <c r="EO113" s="306">
        <v>0.11978017675227419</v>
      </c>
      <c r="EP113" s="307">
        <v>849111</v>
      </c>
      <c r="EQ113" s="308">
        <f t="shared" si="57"/>
        <v>490.97452609548759</v>
      </c>
      <c r="ER113" s="308">
        <f t="shared" si="58"/>
        <v>1.299331610028623</v>
      </c>
      <c r="ET113" s="420" t="s">
        <v>667</v>
      </c>
      <c r="EU113" s="420" t="s">
        <v>221</v>
      </c>
      <c r="EV113" s="420">
        <v>22244.514299999999</v>
      </c>
      <c r="EW113" s="420">
        <v>0.11978017675227419</v>
      </c>
      <c r="EX113" s="421">
        <v>849111</v>
      </c>
      <c r="EY113" s="422">
        <f t="shared" si="59"/>
        <v>476.98175210176623</v>
      </c>
      <c r="EZ113" s="422">
        <f t="shared" si="60"/>
        <v>1.2623006591428072</v>
      </c>
      <c r="FA113">
        <v>0</v>
      </c>
      <c r="FD113" s="306" t="s">
        <v>667</v>
      </c>
      <c r="FE113" s="306" t="s">
        <v>221</v>
      </c>
      <c r="FF113" s="306">
        <v>22244.514299999999</v>
      </c>
      <c r="FG113" s="306">
        <v>0.11978017675227419</v>
      </c>
      <c r="FH113" s="307">
        <v>849111</v>
      </c>
      <c r="FI113" s="308">
        <f t="shared" si="61"/>
        <v>476.98175210176623</v>
      </c>
      <c r="FJ113" s="308">
        <f t="shared" si="50"/>
        <v>1.2623006591428072</v>
      </c>
      <c r="FL113" s="101"/>
      <c r="FM113" s="101"/>
      <c r="FN113" s="101"/>
      <c r="FO113" s="101"/>
      <c r="FP113" s="374"/>
      <c r="FQ113" s="404"/>
      <c r="FR113" s="404"/>
    </row>
    <row r="114" spans="1:174" ht="25">
      <c r="A114" s="205"/>
      <c r="B114" s="205" t="s">
        <v>47</v>
      </c>
      <c r="C114" s="400">
        <f>$AB72*KTDB_TripDistribution_2045!L$12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792.08601739311655</v>
      </c>
      <c r="D114" s="400">
        <f>$AB72*KTDB_TripDistribution_2045!M$12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6159.3664991707865</v>
      </c>
      <c r="E114" s="400">
        <f>$AB72*KTDB_TripDistribution_2045!N$12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273.01609494972178</v>
      </c>
      <c r="F114" s="400">
        <f>$AB72*KTDB_TripDistribution_2045!O$12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0.74038263037212848</v>
      </c>
      <c r="G114" s="400">
        <f>$AB72*KTDB_TripDistribution_2045!P$12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2.0977507860543558</v>
      </c>
      <c r="H114" s="400">
        <f>$AB72*KTDB_TripDistribution_2045!Q$12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7227.3067449300506</v>
      </c>
      <c r="I114" s="56"/>
      <c r="J114" s="56"/>
      <c r="K114" s="206"/>
      <c r="L114" s="206" t="s">
        <v>47</v>
      </c>
      <c r="M114" s="206">
        <f>INDEX($A$102:$H$115,MATCH($L114,$B$102:$B$115,0),MATCH($M$101,$A$102:$H$102,0))*고양시_Modal_split!C$3 * 0.01</f>
        <v>2.217840848700726</v>
      </c>
      <c r="N114" s="206">
        <f>INDEX($A$102:$H$115,MATCH($L114,$B$102:$B$115,0),MATCH($M$101,$A$102:$H$102,0))*고양시_Modal_split!D$3 * 0.01</f>
        <v>372.51805397998271</v>
      </c>
      <c r="O114" s="206">
        <f>INDEX($A$102:$H$115,MATCH($L114,$B$102:$B$115,0),MATCH($M$101,$A$102:$H$102,0))*고양시_Modal_split!E$3 * 0.01</f>
        <v>45.069694389668328</v>
      </c>
      <c r="P114" s="206">
        <f>INDEX($A$102:$H$115,MATCH($L114,$B$102:$B$115,0),MATCH($M$101,$A$102:$H$102,0))*고양시_Modal_split!F$3 * 0.01</f>
        <v>72.63428779494879</v>
      </c>
      <c r="Q114" s="206">
        <f>INDEX($A$102:$H$115,MATCH($L114,$B$102:$B$115,0),MATCH($M$101,$A$102:$H$102,0))*고양시_Modal_split!G$3 * 0.01</f>
        <v>7.2871913600166716</v>
      </c>
      <c r="R114" s="206">
        <f>INDEX($A$102:$H$115,MATCH($L114,$B$102:$B$115,0),MATCH($M$101,$A$102:$H$102,0))*고양시_Modal_split!H$3 * 0.01</f>
        <v>7.9208601739311657E-2</v>
      </c>
      <c r="S114" s="206">
        <f>INDEX($A$102:$H$115,MATCH($L114,$B$102:$B$115,0),MATCH($M$101,$A$102:$H$102,0))*고양시_Modal_split!I$3 * 0.01</f>
        <v>22.01999128352864</v>
      </c>
      <c r="T114" s="206">
        <f>INDEX($A$102:$H$115,MATCH($L114,$B$102:$B$115,0),MATCH($M$101,$A$102:$H$102,0))*고양시_Modal_split!J$3 * 0.01</f>
        <v>241.11098369446472</v>
      </c>
      <c r="U114" s="206">
        <f>INDEX($A$102:$H$115,MATCH($L114,$B$102:$B$115,0),MATCH($M$101,$A$102:$H$102,0))*고양시_Modal_split!K$3 * 0.01</f>
        <v>1.1881290260896749</v>
      </c>
      <c r="V114" s="206">
        <f>INDEX($A$102:$H$115,MATCH($L114,$B$102:$B$115,0),MATCH($M$101,$A$102:$H$102,0))*고양시_Modal_split!L$3 * 0.01</f>
        <v>23.92099772527212</v>
      </c>
      <c r="W114" s="206">
        <f>INDEX($A$102:$H$115,MATCH($L114,$B$102:$B$115,0),MATCH($M$101,$A$102:$H$102,0))*고양시_Modal_split!M$3 * 0.01</f>
        <v>1.8217978400041679</v>
      </c>
      <c r="X114" s="206">
        <f>INDEX($A$102:$H$115,MATCH($L114,$B$102:$B$115,0),MATCH($M$101,$A$102:$H$102,0))*고양시_Modal_split!N$3 * 0.01</f>
        <v>0.79208601739311657</v>
      </c>
      <c r="Y114" s="206">
        <f>INDEX($A$102:$H$115,MATCH($L114,$B$102:$B$115,0),MATCH($M$101,$A$102:$H$102,0))*고양시_Modal_split!O$3 * 0.01</f>
        <v>1.4257548313076098</v>
      </c>
      <c r="Z114" s="209">
        <f>INDEX($A$102:$H$115,MATCH($L114,$B$102:$B$115,0),MATCH($M$101,$A$102:$H$102,0))*고양시_Modal_split!P$3 * 0.01</f>
        <v>792.08601739311655</v>
      </c>
      <c r="AA114" s="207">
        <f>INDEX($A$102:$H$115,MATCH($L114,$B$102:$B$115,0),MATCH($AA$101,$A$102:$H$102,0))*고양시_Modal_split!C$3 * 0.01</f>
        <v>17.246226197678201</v>
      </c>
      <c r="AB114" s="207">
        <f>INDEX($A$102:$H$115,MATCH($L114,$B$102:$B$115,0),MATCH($AA$101,$A$102:$H$102,0))*고양시_Modal_split!D$3 * 0.01</f>
        <v>2896.7500645600207</v>
      </c>
      <c r="AC114" s="207">
        <f>INDEX($A$102:$H$115,MATCH($L114,$B$102:$B$115,0),MATCH($AA$101,$A$102:$H$102,0))*고양시_Modal_split!E$3 * 0.01</f>
        <v>350.4679538028177</v>
      </c>
      <c r="AD114" s="207">
        <f>INDEX($A$102:$H$115,MATCH($L114,$B$102:$B$115,0),MATCH($AA$101,$A$102:$H$102,0))*고양시_Modal_split!F$3 * 0.01</f>
        <v>564.81390797396114</v>
      </c>
      <c r="AE114" s="207">
        <f>INDEX($A$102:$H$115,MATCH($L114,$B$102:$B$115,0),MATCH($AA$101,$A$102:$H$102,0))*고양시_Modal_split!G$3 * 0.01</f>
        <v>56.666171792371237</v>
      </c>
      <c r="AF114" s="207">
        <f>INDEX($A$102:$H$115,MATCH($L114,$B$102:$B$115,0),MATCH($AA$101,$A$102:$H$102,0))*고양시_Modal_split!H$3 * 0.01</f>
        <v>0.61593664991707875</v>
      </c>
      <c r="AG114" s="207">
        <f>INDEX($A$102:$H$115,MATCH($L114,$B$102:$B$115,0),MATCH($AA$101,$A$102:$H$102,0))*고양시_Modal_split!I$3 * 0.01</f>
        <v>171.23038867694785</v>
      </c>
      <c r="AH114" s="207">
        <f>INDEX($A$102:$H$115,MATCH($L114,$B$102:$B$115,0),MATCH($AA$101,$A$102:$H$102,0))*고양시_Modal_split!J$3 * 0.01</f>
        <v>1874.9111623475876</v>
      </c>
      <c r="AI114" s="207">
        <f>INDEX($A$102:$H$115,MATCH($L114,$B$102:$B$115,0),MATCH($AA$101,$A$102:$H$102,0))*고양시_Modal_split!K$3 * 0.01</f>
        <v>9.2390497487561785</v>
      </c>
      <c r="AJ114" s="207">
        <f>INDEX($A$102:$H$115,MATCH($L114,$B$102:$B$115,0),MATCH($AA$101,$A$102:$H$102,0))*고양시_Modal_split!L$3 * 0.01</f>
        <v>186.01286827495775</v>
      </c>
      <c r="AK114" s="207">
        <f>INDEX($A$102:$H$115,MATCH($L114,$B$102:$B$115,0),MATCH($AA$101,$A$102:$H$102,0))*고양시_Modal_split!M$3 * 0.01</f>
        <v>14.166542948092809</v>
      </c>
      <c r="AL114" s="207">
        <f>INDEX($A$102:$H$115,MATCH($L114,$B$102:$B$115,0),MATCH($AA$101,$A$102:$H$102,0))*고양시_Modal_split!N$3 * 0.01</f>
        <v>6.1593664991707877</v>
      </c>
      <c r="AM114" s="207">
        <f>INDEX($A$102:$H$115,MATCH($L114,$B$102:$B$115,0),MATCH($AA$101,$A$102:$H$102,0))*고양시_Modal_split!O$3 * 0.01</f>
        <v>11.086859698507414</v>
      </c>
      <c r="AN114" s="207">
        <f>INDEX($A$102:$H$115,MATCH($L114,$B$102:$B$115,0),MATCH($AA$101,$A$102:$H$102,0))*고양시_Modal_split!P$3 * 0.01</f>
        <v>6159.3664991707865</v>
      </c>
      <c r="AO114" s="303">
        <f>INDEX($A$102:$H$115,MATCH($L114,$B$102:$B$115,0),MATCH($AO$101,$A$102:$H$102,0))*고양시_Modal_split!C$3 * 0.01</f>
        <v>0.7644450658592209</v>
      </c>
      <c r="AP114" s="303">
        <f>INDEX($A$102:$H$115,MATCH($L114,$B$102:$B$115,0),MATCH($AO$101,$A$102:$H$102,0))*고양시_Modal_split!D$3 * 0.01</f>
        <v>128.39946945485414</v>
      </c>
      <c r="AQ114" s="303">
        <f>INDEX($A$102:$H$115,MATCH($L114,$B$102:$B$115,0),MATCH($AO$101,$A$102:$H$102,0))*고양시_Modal_split!E$3 * 0.01</f>
        <v>15.534615802639168</v>
      </c>
      <c r="AR114" s="303">
        <f>INDEX($A$102:$H$115,MATCH($L114,$B$102:$B$115,0),MATCH($AO$101,$A$102:$H$102,0))*고양시_Modal_split!F$3 * 0.01</f>
        <v>25.035575906889484</v>
      </c>
      <c r="AS114" s="303">
        <f>INDEX($A$102:$H$115,MATCH($L114,$B$102:$B$115,0),MATCH($AO$101,$A$102:$H$102,0))*고양시_Modal_split!G$3 * 0.01</f>
        <v>2.51174807353744</v>
      </c>
      <c r="AT114" s="303">
        <f>INDEX($A$102:$H$115,MATCH($L114,$B$102:$B$115,0),MATCH($AO$101,$A$102:$H$102,0))*고양시_Modal_split!H$3 * 0.01</f>
        <v>2.7301609494972179E-2</v>
      </c>
      <c r="AU114" s="303">
        <f>INDEX($A$102:$H$115,MATCH($L114,$B$102:$B$115,0),MATCH($AO$101,$A$102:$H$102,0))*고양시_Modal_split!I$3 * 0.01</f>
        <v>7.5898474396022655</v>
      </c>
      <c r="AV114" s="303">
        <f>INDEX($A$102:$H$115,MATCH($L114,$B$102:$B$115,0),MATCH($AO$101,$A$102:$H$102,0))*고양시_Modal_split!J$3 * 0.01</f>
        <v>83.106099302695313</v>
      </c>
      <c r="AW114" s="303">
        <f>INDEX($A$102:$H$115,MATCH($L114,$B$102:$B$115,0),MATCH($AO$101,$A$102:$H$102,0))*고양시_Modal_split!K$3 * 0.01</f>
        <v>0.40952414242458268</v>
      </c>
      <c r="AX114" s="303">
        <f>INDEX($A$102:$H$115,MATCH($L114,$B$102:$B$115,0),MATCH($AO$101,$A$102:$H$102,0))*고양시_Modal_split!L$3 * 0.01</f>
        <v>8.2450860674815978</v>
      </c>
      <c r="AY114" s="303">
        <f>INDEX($A$102:$H$115,MATCH($L114,$B$102:$B$115,0),MATCH($AO$101,$A$102:$H$102,0))*고양시_Modal_split!M$3 * 0.01</f>
        <v>0.62793701838436</v>
      </c>
      <c r="AZ114" s="303">
        <f>INDEX($A$102:$H$115,MATCH($L114,$B$102:$B$115,0),MATCH($AO$101,$A$102:$H$102,0))*고양시_Modal_split!N$3 * 0.01</f>
        <v>0.27301609494972179</v>
      </c>
      <c r="BA114" s="207">
        <f>INDEX($A$102:$H$115,MATCH($L114,$B$102:$B$115,0),MATCH($AO$101,$A$102:$H$102,0))*고양시_Modal_split!O$3 * 0.01</f>
        <v>0.49142897090949916</v>
      </c>
      <c r="BB114" s="207">
        <f>INDEX($A$102:$H$115,MATCH($L114,$B$102:$B$115,0),MATCH($AO$101,$A$102:$H$102,0))*고양시_Modal_split!P$3 * 0.01</f>
        <v>273.01609494972178</v>
      </c>
      <c r="BC114" s="207">
        <f>INDEX($A$102:$H$115,MATCH($L114,$B$102:$B$115,0),MATCH($BC$101,$A$102:$H$102,0))*고양시_Modal_split!C$3 * 0.01</f>
        <v>2.0730713650419599E-3</v>
      </c>
      <c r="BD114" s="207">
        <f>INDEX($A$102:$H$115,MATCH($L114,$B$102:$B$115,0),MATCH($BC$101,$A$102:$H$102,0))*고양시_Modal_split!D$3 * 0.01</f>
        <v>0.34820195106401203</v>
      </c>
      <c r="BE114" s="207">
        <f>INDEX($A$102:$H$115,MATCH($L114,$B$102:$B$115,0),MATCH($BC$101,$A$102:$H$102,0))*고양시_Modal_split!E$3 * 0.01</f>
        <v>4.2127771668174108E-2</v>
      </c>
      <c r="BF114" s="207">
        <f>INDEX($A$102:$H$115,MATCH($L114,$B$102:$B$115,0),MATCH($BC$101,$A$102:$H$102,0))*고양시_Modal_split!F$3 * 0.01</f>
        <v>6.7893087205124186E-2</v>
      </c>
      <c r="BG114" s="207">
        <f>INDEX($A$102:$H$115,MATCH($L114,$B$102:$B$115,0),MATCH($BC$101,$A$102:$H$102,0))*고양시_Modal_split!G$3 * 0.01</f>
        <v>6.8115201994235824E-3</v>
      </c>
      <c r="BH114" s="207">
        <f>INDEX($A$102:$H$115,MATCH($L114,$B$102:$B$115,0),MATCH($BC$101,$A$102:$H$102,0))*고양시_Modal_split!H$3 * 0.01</f>
        <v>7.4038263037212845E-5</v>
      </c>
      <c r="BI114" s="207">
        <f>INDEX($A$102:$H$115,MATCH($L114,$B$102:$B$115,0),MATCH($BC$101,$A$102:$H$102,0))*고양시_Modal_split!I$3 * 0.01</f>
        <v>2.058263712434517E-2</v>
      </c>
      <c r="BJ114" s="207">
        <f>INDEX($A$102:$H$115,MATCH($L114,$B$102:$B$115,0),MATCH($BC$101,$A$102:$H$102,0))*고양시_Modal_split!J$3 * 0.01</f>
        <v>0.22537247268527591</v>
      </c>
      <c r="BK114" s="207">
        <f>INDEX($A$102:$H$115,MATCH($L114,$B$102:$B$115,0),MATCH($BC$101,$A$102:$H$102,0))*고양시_Modal_split!K$3 * 0.01</f>
        <v>1.1105739455581926E-3</v>
      </c>
      <c r="BL114" s="207">
        <f>INDEX($A$102:$H$115,MATCH($L114,$B$102:$B$115,0),MATCH($BC$101,$A$102:$H$102,0))*고양시_Modal_split!L$3 * 0.01</f>
        <v>2.235955543723828E-2</v>
      </c>
      <c r="BM114" s="207">
        <f>INDEX($A$102:$H$115,MATCH($L114,$B$102:$B$115,0),MATCH($BC$101,$A$102:$H$102,0))*고양시_Modal_split!M$3 * 0.01</f>
        <v>1.7028800498558956E-3</v>
      </c>
      <c r="BN114" s="207">
        <f>INDEX($A$102:$H$115,MATCH($L114,$B$102:$B$115,0),MATCH($BC$101,$A$102:$H$102,0))*고양시_Modal_split!N$3 * 0.01</f>
        <v>7.4038263037212856E-4</v>
      </c>
      <c r="BO114" s="207">
        <f>INDEX($A$102:$H$115,MATCH($L114,$B$102:$B$115,0),MATCH($BC$101,$A$102:$H$102,0))*고양시_Modal_split!O$3 * 0.01</f>
        <v>1.3326887346698313E-3</v>
      </c>
      <c r="BP114" s="207">
        <f>INDEX($A$102:$H$115,MATCH($L114,$B$102:$B$115,0),MATCH($BC$101,$A$102:$H$102,0))*고양시_Modal_split!P$3 * 0.01</f>
        <v>0.74038263037212848</v>
      </c>
      <c r="BQ114" s="207">
        <f>INDEX($A$102:$H$115,MATCH($L114,$B$102:$B$115,0),MATCH($BQ$101,$A$102:$H$102,0))*고양시_Modal_split!C$3 * 0.01</f>
        <v>5.8737022009521956E-3</v>
      </c>
      <c r="BR114" s="207">
        <f>INDEX($A$102:$H$115,MATCH($L114,$B$102:$B$115,0),MATCH($BQ$101,$A$102:$H$102,0))*고양시_Modal_split!D$3 * 0.01</f>
        <v>0.98657219468136359</v>
      </c>
      <c r="BS114" s="207">
        <f>INDEX($A$102:$H$115,MATCH($L114,$B$102:$B$115,0),MATCH($BQ$101,$A$102:$H$102,0))*고양시_Modal_split!E$3 * 0.01</f>
        <v>0.11936201972649285</v>
      </c>
      <c r="BT114" s="207">
        <f>INDEX($A$102:$H$115,MATCH($L114,$B$102:$B$115,0),MATCH($BQ$101,$A$102:$H$102,0))*고양시_Modal_split!F$3 * 0.01</f>
        <v>0.19236374708118445</v>
      </c>
      <c r="BU114" s="207">
        <f>INDEX($A$102:$H$115,MATCH($L114,$B$102:$B$115,0),MATCH($BQ$101,$A$102:$H$102,0))*고양시_Modal_split!G$3 * 0.01</f>
        <v>1.9299307231700071E-2</v>
      </c>
      <c r="BV114" s="207">
        <f>INDEX($A$102:$H$115,MATCH($L114,$B$102:$B$115,0),MATCH($BQ$101,$A$102:$H$102,0))*고양시_Modal_split!H$3 * 0.01</f>
        <v>2.097750786054356E-4</v>
      </c>
      <c r="BW114" s="207">
        <f>INDEX($A$102:$H$115,MATCH($L114,$B$102:$B$115,0),MATCH($BQ$101,$A$102:$H$102,0))*고양시_Modal_split!I$3 * 0.01</f>
        <v>5.8317471852311085E-2</v>
      </c>
      <c r="BX114" s="207">
        <f>INDEX($A$102:$H$115,MATCH($L114,$B$102:$B$115,0),MATCH($BQ$101,$A$102:$H$102,0))*고양시_Modal_split!J$3 * 0.01</f>
        <v>0.6385553392749459</v>
      </c>
      <c r="BY114" s="207">
        <f>INDEX($A$102:$H$115,MATCH($L114,$B$102:$B$115,0),MATCH($BQ$101,$A$102:$H$102,0))*고양시_Modal_split!K$3 * 0.01</f>
        <v>3.1466261790815339E-3</v>
      </c>
      <c r="BZ114" s="207">
        <f>INDEX($A$102:$H$115,MATCH($L114,$B$102:$B$115,0),MATCH($BQ$101,$A$102:$H$102,0))*고양시_Modal_split!L$3 * 0.01</f>
        <v>6.3352073738841538E-2</v>
      </c>
      <c r="CA114" s="207">
        <f>INDEX($A$102:$H$115,MATCH($L114,$B$102:$B$115,0),MATCH($BQ$101,$A$102:$H$102,0))*고양시_Modal_split!M$3 * 0.01</f>
        <v>4.8248268079250176E-3</v>
      </c>
      <c r="CB114" s="207">
        <f>INDEX($A$102:$H$115,MATCH($L114,$B$102:$B$115,0),MATCH($BQ$101,$A$102:$H$102,0))*고양시_Modal_split!N$3 * 0.01</f>
        <v>2.0977507860543559E-3</v>
      </c>
      <c r="CC114" s="207">
        <f>INDEX($A$102:$H$115,MATCH($L114,$B$102:$B$115,0),MATCH($BQ$101,$A$102:$H$102,0))*고양시_Modal_split!O$3 * 0.01</f>
        <v>3.7759514148978401E-3</v>
      </c>
      <c r="CD114" s="207">
        <f>INDEX($A$102:$H$115,MATCH($L114,$B$102:$B$115,0),MATCH($BQ$101,$A$102:$H$102,0))*고양시_Modal_split!P$3 * 0.01</f>
        <v>2.0977507860543558</v>
      </c>
      <c r="CE114" s="304">
        <f t="shared" si="51"/>
        <v>20.23645888580414</v>
      </c>
      <c r="CF114" s="304">
        <f t="shared" si="47"/>
        <v>3399.0023621406026</v>
      </c>
      <c r="CG114" s="304">
        <f t="shared" si="47"/>
        <v>411.23375378651986</v>
      </c>
      <c r="CH114" s="304">
        <f t="shared" si="47"/>
        <v>662.74402851008574</v>
      </c>
      <c r="CI114" s="304">
        <f t="shared" si="47"/>
        <v>66.491222053356466</v>
      </c>
      <c r="CJ114" s="304">
        <f t="shared" si="47"/>
        <v>0.72273067449300521</v>
      </c>
      <c r="CK114" s="304">
        <f t="shared" si="47"/>
        <v>200.91912750905541</v>
      </c>
      <c r="CL114" s="304">
        <f t="shared" si="47"/>
        <v>2199.9921731567083</v>
      </c>
      <c r="CM114" s="304">
        <f t="shared" si="47"/>
        <v>10.840960117395076</v>
      </c>
      <c r="CN114" s="304">
        <f t="shared" si="47"/>
        <v>218.26466369688757</v>
      </c>
      <c r="CO114" s="304">
        <f t="shared" si="47"/>
        <v>16.622805513339117</v>
      </c>
      <c r="CP114" s="304">
        <f t="shared" si="47"/>
        <v>7.2273067449300532</v>
      </c>
      <c r="CQ114" s="304">
        <f t="shared" si="47"/>
        <v>13.009152140874091</v>
      </c>
      <c r="CR114" s="304">
        <f t="shared" si="47"/>
        <v>7227.3067449300524</v>
      </c>
      <c r="CS114" s="305">
        <f t="shared" si="52"/>
        <v>0</v>
      </c>
      <c r="CV114" s="267"/>
      <c r="CW114" s="267" t="s">
        <v>47</v>
      </c>
      <c r="CX114" s="267">
        <f>INDEX($M$101:$Z$115,MATCH($CW114,$L$101:$L$115,0),MATCH(CX$102,$M$102:$Z$102,0))/INDEX(고양시_재차인원!$D$4:$H$35,MATCH("고양시",고양시_재차인원!$B$4:$B$35,0),MATCH($CX$101,고양시_재차인원!$D$4:$H$4,0))</f>
        <v>332.60540533927025</v>
      </c>
      <c r="CY114" s="267">
        <f>INDEX($M$101:$Z$115,MATCH($CW114,$L$101:$L$115,0),MATCH(CY$102,$M$102:$Z$102,0))/INDEX(고양시_재차인원!$K$4:$O$20,MATCH("경기도",고양시_재차인원!$K$4:$K$20,0),MATCH(CY$102,고양시_재차인원!$K$4:$O$4,0))</f>
        <v>2.7512539680205508E-3</v>
      </c>
      <c r="CZ114" s="267">
        <f>INDEX($M$101:$Z$115,MATCH($CW114,$L$101:$L$115,0),MATCH(CZ$102,$M$102:$Z$102,0))/INDEX(고양시_재차인원!$K$4:$O$20,MATCH("경기도",고양시_재차인원!$K$4:$K$20,0),MATCH(CZ$102,고양시_재차인원!$K$4:$O$4,0))</f>
        <v>0.76484860310971314</v>
      </c>
      <c r="DA114" s="267">
        <f>INDEX($M$101:$Z$115,MATCH($CW114,$L$101:$L$115,0),MATCH(DA$102,$M$102:$Z$102,0))/INDEX(고양시_재차인원!$D$4:$H$35,MATCH("고양시",고양시_재차인원!$B$4:$B$35,0),MATCH($CX$101,고양시_재차인원!$D$4:$H$4,0))</f>
        <v>21.358033683278677</v>
      </c>
      <c r="DB114" s="267">
        <f>INDEX($AA$101:$AN$115,MATCH($CW114,$L$101:$L$115,0),MATCH(DB$102,$AA$102:$AN$102,0))/INDEX(고양시_재차인원!$D$4:$H$35,MATCH("고양시",고양시_재차인원!$B$4:$B$35,0),MATCH($DB$101,고양시_재차인원!$D$4:$H$4,0))</f>
        <v>2054.4326699007242</v>
      </c>
      <c r="DC114" s="267">
        <f>INDEX($AA$101:$AN$115,MATCH($CW114,$L$101:$L$115,0),MATCH(DC$102,$AA$102:$AN$102,0))/INDEX(고양시_재차인원!$K$4:$O$20,MATCH("경기도",고양시_재차인원!$K$4:$K$20,0),MATCH(DC$102,고양시_재차인원!$K$4:$O$4,0))</f>
        <v>2.139411774633827E-2</v>
      </c>
      <c r="DD114" s="267">
        <f>INDEX($AA$101:$AN$115,MATCH($CW114,$L$101:$L$115,0),MATCH(DD$102,$AA$102:$AN$102,0))/INDEX(고양시_재차인원!$K$4:$O$20,MATCH("경기도",고양시_재차인원!$K$4:$K$20,0),MATCH(DD$102,고양시_재차인원!$K$4:$O$4,0))</f>
        <v>5.9475647334820376</v>
      </c>
      <c r="DE114" s="267">
        <f>INDEX($AA$101:$AN$115,MATCH($CW114,$L$101:$L$115,0),MATCH(DE$102,$AA$102:$AN$102,0))/INDEX(고양시_재차인원!$D$4:$H$35,MATCH("고양시",고양시_재차인원!$B$4:$B$35,0),MATCH($DB$101,고양시_재차인원!$D$4:$H$4,0))</f>
        <v>131.92402005316154</v>
      </c>
      <c r="DF114" s="267">
        <f>INDEX($AO$101:$BB$115,MATCH($CW114,$L$101:$L$115,0),MATCH(DF$102,$AO$102:$BB$102,0))/INDEX(고양시_재차인원!$D$4:$H$35,MATCH("고양시",고양시_재차인원!$B$4:$B$35,0),MATCH($DF$101,고양시_재차인원!$D$4:$H$4,0))</f>
        <v>98.768822657580102</v>
      </c>
      <c r="DG114" s="267">
        <f>INDEX($AO$101:$BB$115,MATCH($CW114,$L$101:$L$115,0),MATCH(DG$102,$AO$102:$BB$102,0))/INDEX(고양시_재차인원!$K$4:$O$20,MATCH("경기도",고양시_재차인원!$K$4:$K$20,0),MATCH(DG$102,고양시_재차인원!$K$4:$O$4,0))</f>
        <v>9.4830182337520593E-4</v>
      </c>
      <c r="DH114" s="267">
        <f>INDEX($AO$101:$BB$115,MATCH($CW114,$L$101:$L$115,0),MATCH(DH$102,$AO$102:$BB$102,0))/INDEX(고양시_재차인원!$K$4:$O$20,MATCH("경기도",고양시_재차인원!$K$4:$K$20,0),MATCH(DH$102,고양시_재차인원!$K$4:$O$4,0))</f>
        <v>0.26362790689830723</v>
      </c>
      <c r="DI114" s="267">
        <f>INDEX($AO$101:$BB$115,MATCH($CW114,$L$101:$L$115,0),MATCH(DI$102,$AO$102:$BB$102,0))/INDEX(고양시_재차인원!$D$4:$H$35,MATCH("고양시",고양시_재차인원!$B$4:$B$35,0),MATCH($DF$101,고양시_재차인원!$D$4:$H$4,0))</f>
        <v>6.3423738980627675</v>
      </c>
      <c r="DJ114" s="267">
        <f>INDEX($BC$101:$BP$115,MATCH($CW114,$L$101:$L$115,0),MATCH(DJ$102,$BC$102:$BP$102,0))/INDEX(고양시_재차인원!$D$4:$H$35,MATCH("고양시",고양시_재차인원!$B$4:$B$35,0),MATCH($DJ$101,고양시_재차인원!$D$4:$H$4,0))</f>
        <v>0.25603084637059709</v>
      </c>
      <c r="DK114" s="267">
        <f>INDEX($BC$101:$BP$115,MATCH($CW114,$L$101:$L$115,0),MATCH(DK$102,$BC$102:$BP$102,0))/INDEX(고양시_재차인원!$K$4:$O$20,MATCH("경기도",고양시_재차인원!$K$4:$K$20,0),MATCH(DK$102,고양시_재차인원!$K$4:$O$4,0))</f>
        <v>2.5716659616954792E-6</v>
      </c>
      <c r="DL114" s="267">
        <f>INDEX($BC$101:$BP$115,MATCH($CW114,$L$101:$L$115,0),MATCH(DL$102,$BC$102:$BP$102,0))/INDEX(고양시_재차인원!$K$4:$O$20,MATCH("경기도",고양시_재차인원!$K$4:$K$20,0),MATCH(DL$102,고양시_재차인원!$K$4:$O$4,0))</f>
        <v>7.149231373513432E-4</v>
      </c>
      <c r="DM114" s="267">
        <f>INDEX($BC$101:$BP$115,MATCH($CW114,$L$101:$L$115,0),MATCH(DM$102,$BC$102:$BP$102,0))/INDEX(고양시_재차인원!$D$4:$H$35,MATCH("고양시",고양시_재차인원!$B$4:$B$35,0),MATCH($DJ$101,고양시_재차인원!$D$4:$H$4,0))</f>
        <v>1.6440849586204617E-2</v>
      </c>
      <c r="DN114" s="267">
        <f>INDEX($BQ$101:$CD$115,MATCH($CW114,$L$101:$L$115,0),MATCH(DN$102,$BQ$102:$CD$102,0))/INDEX(고양시_재차인원!$D$4:$H$35,MATCH("고양시",고양시_재차인원!$B$4:$B$35,0),MATCH($DN$101,고양시_재차인원!$D$4:$H$4,0))</f>
        <v>0.78299380530266949</v>
      </c>
      <c r="DO114" s="267">
        <f>INDEX($BQ$101:$CD$115,MATCH($CW114,$L$101:$L$115,0),MATCH(DO$102,$BQ$102:$CD$102,0))/INDEX(고양시_재차인원!$K$4:$O$20,MATCH("경기도",고양시_재차인원!$K$4:$K$20,0),MATCH(DO$102,고양시_재차인원!$K$4:$O$4,0))</f>
        <v>7.2863868914704965E-6</v>
      </c>
      <c r="DP114" s="267">
        <f>INDEX($BQ$101:$CD$115,MATCH($CW114,$L$101:$L$115,0),MATCH(DP$102,$BQ$102:$CD$102,0))/INDEX(고양시_재차인원!$K$4:$O$20,MATCH("경기도",고양시_재차인원!$K$4:$K$20,0),MATCH(DP$102,고양시_재차인원!$K$4:$O$4,0))</f>
        <v>2.0256155558287976E-3</v>
      </c>
      <c r="DQ114" s="267">
        <f>INDEX($BQ$101:$CD$115,MATCH($CW114,$L$101:$L$115,0),MATCH(DQ$102,$BQ$102:$CD$102,0))/INDEX(고양시_재차인원!$D$4:$H$35,MATCH("고양시",고양시_재차인원!$B$4:$B$35,0),MATCH($DN$101,고양시_재차인원!$D$4:$H$4,0))</f>
        <v>5.0279423602255187E-2</v>
      </c>
      <c r="DR114" s="270">
        <f t="shared" si="53"/>
        <v>2486.8459225492484</v>
      </c>
      <c r="DS114" s="270">
        <f t="shared" si="48"/>
        <v>2.5103531590587192E-2</v>
      </c>
      <c r="DT114" s="270">
        <f t="shared" si="48"/>
        <v>6.9787817821832387</v>
      </c>
      <c r="DU114" s="270">
        <f t="shared" si="48"/>
        <v>159.69114790769146</v>
      </c>
      <c r="DW114" s="278"/>
      <c r="DX114" s="278" t="s">
        <v>47</v>
      </c>
      <c r="DY114" s="281">
        <f t="shared" si="54"/>
        <v>2646.53707045694</v>
      </c>
      <c r="DZ114" s="281">
        <f t="shared" si="55"/>
        <v>7.0038853137738259</v>
      </c>
      <c r="EB114" s="278"/>
      <c r="EC114" s="278" t="s">
        <v>47</v>
      </c>
      <c r="ED114" s="281">
        <f t="shared" si="56"/>
        <v>2646.53707045694</v>
      </c>
      <c r="EE114" s="281">
        <f t="shared" si="49"/>
        <v>7.0038853137738259</v>
      </c>
      <c r="EL114" s="306" t="s">
        <v>667</v>
      </c>
      <c r="EM114" s="306" t="s">
        <v>372</v>
      </c>
      <c r="EN114" s="306">
        <v>20007.53</v>
      </c>
      <c r="EO114" s="306">
        <v>0.10773467325274116</v>
      </c>
      <c r="EP114" s="307">
        <v>849112</v>
      </c>
      <c r="EQ114" s="308">
        <f t="shared" si="57"/>
        <v>441.60045158150524</v>
      </c>
      <c r="ER114" s="308">
        <f t="shared" si="58"/>
        <v>1.1686663874515781</v>
      </c>
      <c r="ET114" s="420" t="s">
        <v>667</v>
      </c>
      <c r="EU114" s="420" t="s">
        <v>372</v>
      </c>
      <c r="EV114" s="420">
        <v>20007.53</v>
      </c>
      <c r="EW114" s="420">
        <v>0.10773467325274116</v>
      </c>
      <c r="EX114" s="421">
        <v>849112</v>
      </c>
      <c r="EY114" s="422">
        <f t="shared" si="59"/>
        <v>429.01483871143233</v>
      </c>
      <c r="EZ114" s="422">
        <f t="shared" si="60"/>
        <v>1.1353593954092083</v>
      </c>
      <c r="FA114">
        <v>0</v>
      </c>
      <c r="FD114" s="306" t="s">
        <v>667</v>
      </c>
      <c r="FE114" s="306" t="s">
        <v>372</v>
      </c>
      <c r="FF114" s="306">
        <v>20007.53</v>
      </c>
      <c r="FG114" s="306">
        <v>0.10773467325274116</v>
      </c>
      <c r="FH114" s="307">
        <v>849112</v>
      </c>
      <c r="FI114" s="308">
        <f t="shared" si="61"/>
        <v>429.01483871143233</v>
      </c>
      <c r="FJ114" s="308">
        <f t="shared" si="50"/>
        <v>1.1353593954092083</v>
      </c>
      <c r="FL114" s="101"/>
      <c r="FM114" s="101"/>
      <c r="FN114" s="101"/>
      <c r="FO114" s="101"/>
      <c r="FP114" s="374"/>
      <c r="FQ114" s="404"/>
      <c r="FR114" s="404"/>
    </row>
    <row r="115" spans="1:174">
      <c r="A115" s="205"/>
      <c r="B115" s="205" t="s">
        <v>676</v>
      </c>
      <c r="C115" s="400">
        <f>$AB73*KTDB_TripDistribution_2045!L$12 * (1+KTDB_발생량도착량_증가율!$C$8*2) * (1+KTDB_발생량도착량_증가율!$D$7*5) * (1+KTDB_발생량도착량_증가율!$E$7*5) * (1+KTDB_발생량도착량_증가율!$F$7*5) * (1+KTDB_발생량도착량_증가율!$G$7*5)</f>
        <v>5075.0788537194021</v>
      </c>
      <c r="D115" s="400">
        <f>$AB73*KTDB_TripDistribution_2045!M$12 * (1+KTDB_발생량도착량_증가율!$C$8*2) * (1+KTDB_발생량도착량_증가율!$D$7*5) * (1+KTDB_발생량도착량_증가율!$E$7*5) * (1+KTDB_발생량도착량_증가율!$F$7*5) * (1+KTDB_발생량도착량_증가율!$G$7*5)</f>
        <v>39464.489949120289</v>
      </c>
      <c r="E115" s="400">
        <f>$AB73*KTDB_TripDistribution_2045!N$12 * (1+KTDB_발생량도착량_증가율!$C$8*2) * (1+KTDB_발생량도착량_증가율!$D$7*5) * (1+KTDB_발생량도착량_증가율!$E$7*5) * (1+KTDB_발생량도착량_증가율!$F$7*5) * (1+KTDB_발생량도착량_증가율!$G$7*5)</f>
        <v>1749.2774519168308</v>
      </c>
      <c r="F115" s="400">
        <f>$AB73*KTDB_TripDistribution_2045!O$12 * (1+KTDB_발생량도착량_증가율!$C$8*2) * (1+KTDB_발생량도착량_증가율!$D$7*5) * (1+KTDB_발생량도착량_증가율!$E$7*5) * (1+KTDB_발생량도착량_증가율!$F$7*5) * (1+KTDB_발생량도착량_증가율!$G$7*5)</f>
        <v>4.7438032594354844</v>
      </c>
      <c r="G115" s="400">
        <f>$AB73*KTDB_TripDistribution_2045!P$12 * (1+KTDB_발생량도착량_증가율!$C$8*2) * (1+KTDB_발생량도착량_증가율!$D$7*5) * (1+KTDB_발생량도착량_증가율!$E$7*5) * (1+KTDB_발생량도착량_증가율!$F$7*5) * (1+KTDB_발생량도착량_증가율!$G$7*5)</f>
        <v>13.440775901733824</v>
      </c>
      <c r="H115" s="400">
        <f>$AB73*KTDB_TripDistribution_2045!Q$12 * (1+KTDB_발생량도착량_증가율!$C$8*2) * (1+KTDB_발생량도착량_증가율!$D$7*5) * (1+KTDB_발생량도착량_증가율!$E$7*5) * (1+KTDB_발생량도착량_증가율!$F$7*5) * (1+KTDB_발생량도착량_증가율!$G$7*5)</f>
        <v>46307.030833917685</v>
      </c>
      <c r="I115" t="b">
        <f>H115=$AB$73 * (1+KTDB_발생량도착량_증가율!$C$8*2)</f>
        <v>0</v>
      </c>
      <c r="J115" s="230">
        <f>CR115</f>
        <v>46307.030833917692</v>
      </c>
      <c r="K115" s="206"/>
      <c r="L115" s="206" t="s">
        <v>26</v>
      </c>
      <c r="M115" s="206">
        <f>INDEX($A$102:$H$115,MATCH($L115,$B$102:$B$115,0),MATCH($M$101,$A$102:$H$102,0))*고양시_Modal_split!C$3 * 0.01</f>
        <v>14.210220790414324</v>
      </c>
      <c r="N115" s="206">
        <f>INDEX($A$102:$H$115,MATCH($L115,$B$102:$B$115,0),MATCH($M$101,$A$102:$H$102,0))*고양시_Modal_split!D$3 * 0.01</f>
        <v>2386.8095849042347</v>
      </c>
      <c r="O115" s="206">
        <f>INDEX($A$102:$H$115,MATCH($L115,$B$102:$B$115,0),MATCH($M$101,$A$102:$H$102,0))*고양시_Modal_split!E$3 * 0.01</f>
        <v>288.77198677663398</v>
      </c>
      <c r="P115" s="206">
        <f>INDEX($A$102:$H$115,MATCH($L115,$B$102:$B$115,0),MATCH($M$101,$A$102:$H$102,0))*고양시_Modal_split!F$3 * 0.01</f>
        <v>465.38473088606918</v>
      </c>
      <c r="Q115" s="206">
        <f>INDEX($A$102:$H$115,MATCH($L115,$B$102:$B$115,0),MATCH($M$101,$A$102:$H$102,0))*고양시_Modal_split!G$3 * 0.01</f>
        <v>46.690725454218502</v>
      </c>
      <c r="R115" s="206">
        <f>INDEX($A$102:$H$115,MATCH($L115,$B$102:$B$115,0),MATCH($M$101,$A$102:$H$102,0))*고양시_Modal_split!H$3 * 0.01</f>
        <v>0.50750788537194025</v>
      </c>
      <c r="S115" s="206">
        <f>INDEX($A$102:$H$115,MATCH($L115,$B$102:$B$115,0),MATCH($M$101,$A$102:$H$102,0))*고양시_Modal_split!I$3 * 0.01</f>
        <v>141.08719213339938</v>
      </c>
      <c r="T115" s="206">
        <f>INDEX($A$102:$H$115,MATCH($L115,$B$102:$B$115,0),MATCH($M$101,$A$102:$H$102,0))*고양시_Modal_split!J$3 * 0.01</f>
        <v>1544.8540030721861</v>
      </c>
      <c r="U115" s="206">
        <f>INDEX($A$102:$H$115,MATCH($L115,$B$102:$B$115,0),MATCH($M$101,$A$102:$H$102,0))*고양시_Modal_split!K$3 * 0.01</f>
        <v>7.6126182805791034</v>
      </c>
      <c r="V115" s="206">
        <f>INDEX($A$102:$H$115,MATCH($L115,$B$102:$B$115,0),MATCH($M$101,$A$102:$H$102,0))*고양시_Modal_split!L$3 * 0.01</f>
        <v>153.26738138232596</v>
      </c>
      <c r="W115" s="206">
        <f>INDEX($A$102:$H$115,MATCH($L115,$B$102:$B$115,0),MATCH($M$101,$A$102:$H$102,0))*고양시_Modal_split!M$3 * 0.01</f>
        <v>11.672681363554625</v>
      </c>
      <c r="X115" s="206">
        <f>INDEX($A$102:$H$115,MATCH($L115,$B$102:$B$115,0),MATCH($M$101,$A$102:$H$102,0))*고양시_Modal_split!N$3 * 0.01</f>
        <v>5.0750788537194023</v>
      </c>
      <c r="Y115" s="206">
        <f>INDEX($A$102:$H$115,MATCH($L115,$B$102:$B$115,0),MATCH($M$101,$A$102:$H$102,0))*고양시_Modal_split!O$3 * 0.01</f>
        <v>9.1351419366949234</v>
      </c>
      <c r="Z115" s="209">
        <f>INDEX($A$102:$H$115,MATCH($L115,$B$102:$B$115,0),MATCH($M$101,$A$102:$H$102,0))*고양시_Modal_split!P$3 * 0.01</f>
        <v>5075.0788537194021</v>
      </c>
      <c r="AA115" s="207">
        <f>INDEX($A$102:$H$115,MATCH($L115,$B$102:$B$115,0),MATCH($AA$101,$A$102:$H$102,0))*고양시_Modal_split!C$3 * 0.01</f>
        <v>110.5005718575368</v>
      </c>
      <c r="AB115" s="207">
        <f>INDEX($A$102:$H$115,MATCH($L115,$B$102:$B$115,0),MATCH($AA$101,$A$102:$H$102,0))*고양시_Modal_split!D$3 * 0.01</f>
        <v>18560.149623071273</v>
      </c>
      <c r="AC115" s="207">
        <f>INDEX($A$102:$H$115,MATCH($L115,$B$102:$B$115,0),MATCH($AA$101,$A$102:$H$102,0))*고양시_Modal_split!E$3 * 0.01</f>
        <v>2245.5294781049442</v>
      </c>
      <c r="AD115" s="207">
        <f>INDEX($A$102:$H$115,MATCH($L115,$B$102:$B$115,0),MATCH($AA$101,$A$102:$H$102,0))*고양시_Modal_split!F$3 * 0.01</f>
        <v>3618.8937283343303</v>
      </c>
      <c r="AE115" s="207">
        <f>INDEX($A$102:$H$115,MATCH($L115,$B$102:$B$115,0),MATCH($AA$101,$A$102:$H$102,0))*고양시_Modal_split!G$3 * 0.01</f>
        <v>363.07330753190661</v>
      </c>
      <c r="AF115" s="207">
        <f>INDEX($A$102:$H$115,MATCH($L115,$B$102:$B$115,0),MATCH($AA$101,$A$102:$H$102,0))*고양시_Modal_split!H$3 * 0.01</f>
        <v>3.9464489949120294</v>
      </c>
      <c r="AG115" s="207">
        <f>INDEX($A$102:$H$115,MATCH($L115,$B$102:$B$115,0),MATCH($AA$101,$A$102:$H$102,0))*고양시_Modal_split!I$3 * 0.01</f>
        <v>1097.1128205855439</v>
      </c>
      <c r="AH115" s="207">
        <f>INDEX($A$102:$H$115,MATCH($L115,$B$102:$B$115,0),MATCH($AA$101,$A$102:$H$102,0))*고양시_Modal_split!J$3 * 0.01</f>
        <v>12012.990740512216</v>
      </c>
      <c r="AI115" s="207">
        <f>INDEX($A$102:$H$115,MATCH($L115,$B$102:$B$115,0),MATCH($AA$101,$A$102:$H$102,0))*고양시_Modal_split!K$3 * 0.01</f>
        <v>59.196734923680431</v>
      </c>
      <c r="AJ115" s="207">
        <f>INDEX($A$102:$H$115,MATCH($L115,$B$102:$B$115,0),MATCH($AA$101,$A$102:$H$102,0))*고양시_Modal_split!L$3 * 0.01</f>
        <v>1191.8275964634327</v>
      </c>
      <c r="AK115" s="207">
        <f>INDEX($A$102:$H$115,MATCH($L115,$B$102:$B$115,0),MATCH($AA$101,$A$102:$H$102,0))*고양시_Modal_split!M$3 * 0.01</f>
        <v>90.768326882976652</v>
      </c>
      <c r="AL115" s="207">
        <f>INDEX($A$102:$H$115,MATCH($L115,$B$102:$B$115,0),MATCH($AA$101,$A$102:$H$102,0))*고양시_Modal_split!N$3 * 0.01</f>
        <v>39.464489949120292</v>
      </c>
      <c r="AM115" s="207">
        <f>INDEX($A$102:$H$115,MATCH($L115,$B$102:$B$115,0),MATCH($AA$101,$A$102:$H$102,0))*고양시_Modal_split!O$3 * 0.01</f>
        <v>71.03608190841652</v>
      </c>
      <c r="AN115" s="207">
        <f>INDEX($A$102:$H$115,MATCH($L115,$B$102:$B$115,0),MATCH($AA$101,$A$102:$H$102,0))*고양시_Modal_split!P$3 * 0.01</f>
        <v>39464.489949120289</v>
      </c>
      <c r="AO115" s="303">
        <f>INDEX($A$102:$H$115,MATCH($L115,$B$102:$B$115,0),MATCH($AO$101,$A$102:$H$102,0))*고양시_Modal_split!C$3 * 0.01</f>
        <v>4.8979768653671263</v>
      </c>
      <c r="AP115" s="303">
        <f>INDEX($A$102:$H$115,MATCH($L115,$B$102:$B$115,0),MATCH($AO$101,$A$102:$H$102,0))*고양시_Modal_split!D$3 * 0.01</f>
        <v>822.68518563648558</v>
      </c>
      <c r="AQ115" s="303">
        <f>INDEX($A$102:$H$115,MATCH($L115,$B$102:$B$115,0),MATCH($AO$101,$A$102:$H$102,0))*고양시_Modal_split!E$3 * 0.01</f>
        <v>99.533887014067659</v>
      </c>
      <c r="AR115" s="303">
        <f>INDEX($A$102:$H$115,MATCH($L115,$B$102:$B$115,0),MATCH($AO$101,$A$102:$H$102,0))*고양시_Modal_split!F$3 * 0.01</f>
        <v>160.40874234077339</v>
      </c>
      <c r="AS115" s="303">
        <f>INDEX($A$102:$H$115,MATCH($L115,$B$102:$B$115,0),MATCH($AO$101,$A$102:$H$102,0))*고양시_Modal_split!G$3 * 0.01</f>
        <v>16.093352557634841</v>
      </c>
      <c r="AT115" s="303">
        <f>INDEX($A$102:$H$115,MATCH($L115,$B$102:$B$115,0),MATCH($AO$101,$A$102:$H$102,0))*고양시_Modal_split!H$3 * 0.01</f>
        <v>0.17492774519168308</v>
      </c>
      <c r="AU115" s="303">
        <f>INDEX($A$102:$H$115,MATCH($L115,$B$102:$B$115,0),MATCH($AO$101,$A$102:$H$102,0))*고양시_Modal_split!I$3 * 0.01</f>
        <v>48.629913163287895</v>
      </c>
      <c r="AV115" s="303">
        <f>INDEX($A$102:$H$115,MATCH($L115,$B$102:$B$115,0),MATCH($AO$101,$A$102:$H$102,0))*고양시_Modal_split!J$3 * 0.01</f>
        <v>532.4800563634833</v>
      </c>
      <c r="AW115" s="303">
        <f>INDEX($A$102:$H$115,MATCH($L115,$B$102:$B$115,0),MATCH($AO$101,$A$102:$H$102,0))*고양시_Modal_split!K$3 * 0.01</f>
        <v>2.6239161778752464</v>
      </c>
      <c r="AX115" s="303">
        <f>INDEX($A$102:$H$115,MATCH($L115,$B$102:$B$115,0),MATCH($AO$101,$A$102:$H$102,0))*고양시_Modal_split!L$3 * 0.01</f>
        <v>52.828179047888291</v>
      </c>
      <c r="AY115" s="303">
        <f>INDEX($A$102:$H$115,MATCH($L115,$B$102:$B$115,0),MATCH($AO$101,$A$102:$H$102,0))*고양시_Modal_split!M$3 * 0.01</f>
        <v>4.0233381394087102</v>
      </c>
      <c r="AZ115" s="303">
        <f>INDEX($A$102:$H$115,MATCH($L115,$B$102:$B$115,0),MATCH($AO$101,$A$102:$H$102,0))*고양시_Modal_split!N$3 * 0.01</f>
        <v>1.749277451916831</v>
      </c>
      <c r="BA115" s="207">
        <f>INDEX($A$102:$H$115,MATCH($L115,$B$102:$B$115,0),MATCH($AO$101,$A$102:$H$102,0))*고양시_Modal_split!O$3 * 0.01</f>
        <v>3.1486994134502955</v>
      </c>
      <c r="BB115" s="207">
        <f>INDEX($A$102:$H$115,MATCH($L115,$B$102:$B$115,0),MATCH($AO$101,$A$102:$H$102,0))*고양시_Modal_split!P$3 * 0.01</f>
        <v>1749.2774519168308</v>
      </c>
      <c r="BC115" s="207">
        <f>INDEX($A$102:$H$115,MATCH($L115,$B$102:$B$115,0),MATCH($BC$101,$A$102:$H$102,0))*고양시_Modal_split!C$3 * 0.01</f>
        <v>1.3282649126419355E-2</v>
      </c>
      <c r="BD115" s="207">
        <f>INDEX($A$102:$H$115,MATCH($L115,$B$102:$B$115,0),MATCH($BC$101,$A$102:$H$102,0))*고양시_Modal_split!D$3 * 0.01</f>
        <v>2.2310106729125083</v>
      </c>
      <c r="BE115" s="207">
        <f>INDEX($A$102:$H$115,MATCH($L115,$B$102:$B$115,0),MATCH($BC$101,$A$102:$H$102,0))*고양시_Modal_split!E$3 * 0.01</f>
        <v>0.26992240546187907</v>
      </c>
      <c r="BF115" s="207">
        <f>INDEX($A$102:$H$115,MATCH($L115,$B$102:$B$115,0),MATCH($BC$101,$A$102:$H$102,0))*고양시_Modal_split!F$3 * 0.01</f>
        <v>0.43500675889023394</v>
      </c>
      <c r="BG115" s="207">
        <f>INDEX($A$102:$H$115,MATCH($L115,$B$102:$B$115,0),MATCH($BC$101,$A$102:$H$102,0))*고양시_Modal_split!G$3 * 0.01</f>
        <v>4.3642989986806456E-2</v>
      </c>
      <c r="BH115" s="207">
        <f>INDEX($A$102:$H$115,MATCH($L115,$B$102:$B$115,0),MATCH($BC$101,$A$102:$H$102,0))*고양시_Modal_split!H$3 * 0.01</f>
        <v>4.7438032594354851E-4</v>
      </c>
      <c r="BI115" s="207">
        <f>INDEX($A$102:$H$115,MATCH($L115,$B$102:$B$115,0),MATCH($BC$101,$A$102:$H$102,0))*고양시_Modal_split!I$3 * 0.01</f>
        <v>0.13187773061230645</v>
      </c>
      <c r="BJ115" s="207">
        <f>INDEX($A$102:$H$115,MATCH($L115,$B$102:$B$115,0),MATCH($BC$101,$A$102:$H$102,0))*고양시_Modal_split!J$3 * 0.01</f>
        <v>1.4440137121721615</v>
      </c>
      <c r="BK115" s="207">
        <f>INDEX($A$102:$H$115,MATCH($L115,$B$102:$B$115,0),MATCH($BC$101,$A$102:$H$102,0))*고양시_Modal_split!K$3 * 0.01</f>
        <v>7.1157048891532263E-3</v>
      </c>
      <c r="BL115" s="207">
        <f>INDEX($A$102:$H$115,MATCH($L115,$B$102:$B$115,0),MATCH($BC$101,$A$102:$H$102,0))*고양시_Modal_split!L$3 * 0.01</f>
        <v>0.14326285843495165</v>
      </c>
      <c r="BM115" s="207">
        <f>INDEX($A$102:$H$115,MATCH($L115,$B$102:$B$115,0),MATCH($BC$101,$A$102:$H$102,0))*고양시_Modal_split!M$3 * 0.01</f>
        <v>1.0910747496701614E-2</v>
      </c>
      <c r="BN115" s="207">
        <f>INDEX($A$102:$H$115,MATCH($L115,$B$102:$B$115,0),MATCH($BC$101,$A$102:$H$102,0))*고양시_Modal_split!N$3 * 0.01</f>
        <v>4.7438032594354848E-3</v>
      </c>
      <c r="BO115" s="207">
        <f>INDEX($A$102:$H$115,MATCH($L115,$B$102:$B$115,0),MATCH($BC$101,$A$102:$H$102,0))*고양시_Modal_split!O$3 * 0.01</f>
        <v>8.5388458669838716E-3</v>
      </c>
      <c r="BP115" s="207">
        <f>INDEX($A$102:$H$115,MATCH($L115,$B$102:$B$115,0),MATCH($BC$101,$A$102:$H$102,0))*고양시_Modal_split!P$3 * 0.01</f>
        <v>4.7438032594354844</v>
      </c>
      <c r="BQ115" s="207">
        <f>INDEX($A$102:$H$115,MATCH($L115,$B$102:$B$115,0),MATCH($BQ$101,$A$102:$H$102,0))*고양시_Modal_split!C$3 * 0.01</f>
        <v>3.7634172524854702E-2</v>
      </c>
      <c r="BR115" s="207">
        <f>INDEX($A$102:$H$115,MATCH($L115,$B$102:$B$115,0),MATCH($BQ$101,$A$102:$H$102,0))*고양시_Modal_split!D$3 * 0.01</f>
        <v>6.3211969065854179</v>
      </c>
      <c r="BS115" s="207">
        <f>INDEX($A$102:$H$115,MATCH($L115,$B$102:$B$115,0),MATCH($BQ$101,$A$102:$H$102,0))*고양시_Modal_split!E$3 * 0.01</f>
        <v>0.76478014880865464</v>
      </c>
      <c r="BT115" s="207">
        <f>INDEX($A$102:$H$115,MATCH($L115,$B$102:$B$115,0),MATCH($BQ$101,$A$102:$H$102,0))*고양시_Modal_split!F$3 * 0.01</f>
        <v>1.2325191501889916</v>
      </c>
      <c r="BU115" s="207">
        <f>INDEX($A$102:$H$115,MATCH($L115,$B$102:$B$115,0),MATCH($BQ$101,$A$102:$H$102,0))*고양시_Modal_split!G$3 * 0.01</f>
        <v>0.12365513829595118</v>
      </c>
      <c r="BV115" s="207">
        <f>INDEX($A$102:$H$115,MATCH($L115,$B$102:$B$115,0),MATCH($BQ$101,$A$102:$H$102,0))*고양시_Modal_split!H$3 * 0.01</f>
        <v>1.3440775901733823E-3</v>
      </c>
      <c r="BW115" s="207">
        <f>INDEX($A$102:$H$115,MATCH($L115,$B$102:$B$115,0),MATCH($BQ$101,$A$102:$H$102,0))*고양시_Modal_split!I$3 * 0.01</f>
        <v>0.37365357006820027</v>
      </c>
      <c r="BX115" s="207">
        <f>INDEX($A$102:$H$115,MATCH($L115,$B$102:$B$115,0),MATCH($BQ$101,$A$102:$H$102,0))*고양시_Modal_split!J$3 * 0.01</f>
        <v>4.091372184487776</v>
      </c>
      <c r="BY115" s="207">
        <f>INDEX($A$102:$H$115,MATCH($L115,$B$102:$B$115,0),MATCH($BQ$101,$A$102:$H$102,0))*고양시_Modal_split!K$3 * 0.01</f>
        <v>2.0161163852600736E-2</v>
      </c>
      <c r="BZ115" s="207">
        <f>INDEX($A$102:$H$115,MATCH($L115,$B$102:$B$115,0),MATCH($BQ$101,$A$102:$H$102,0))*고양시_Modal_split!L$3 * 0.01</f>
        <v>0.40591143223236154</v>
      </c>
      <c r="CA115" s="207">
        <f>INDEX($A$102:$H$115,MATCH($L115,$B$102:$B$115,0),MATCH($BQ$101,$A$102:$H$102,0))*고양시_Modal_split!M$3 * 0.01</f>
        <v>3.0913784573987795E-2</v>
      </c>
      <c r="CB115" s="207">
        <f>INDEX($A$102:$H$115,MATCH($L115,$B$102:$B$115,0),MATCH($BQ$101,$A$102:$H$102,0))*고양시_Modal_split!N$3 * 0.01</f>
        <v>1.3440775901733827E-2</v>
      </c>
      <c r="CC115" s="207">
        <f>INDEX($A$102:$H$115,MATCH($L115,$B$102:$B$115,0),MATCH($BQ$101,$A$102:$H$102,0))*고양시_Modal_split!O$3 * 0.01</f>
        <v>2.4193396623120884E-2</v>
      </c>
      <c r="CD115" s="207">
        <f>INDEX($A$102:$H$115,MATCH($L115,$B$102:$B$115,0),MATCH($BQ$101,$A$102:$H$102,0))*고양시_Modal_split!P$3 * 0.01</f>
        <v>13.440775901733824</v>
      </c>
      <c r="CE115" s="304">
        <f t="shared" si="51"/>
        <v>129.65968633496951</v>
      </c>
      <c r="CF115" s="304">
        <f t="shared" si="47"/>
        <v>21778.196601191492</v>
      </c>
      <c r="CG115" s="304">
        <f t="shared" si="47"/>
        <v>2634.8700544499166</v>
      </c>
      <c r="CH115" s="304">
        <f t="shared" si="47"/>
        <v>4246.3547274702514</v>
      </c>
      <c r="CI115" s="304">
        <f t="shared" si="47"/>
        <v>426.02468367204267</v>
      </c>
      <c r="CJ115" s="304">
        <f t="shared" si="47"/>
        <v>4.6307030833917695</v>
      </c>
      <c r="CK115" s="304">
        <f t="shared" si="47"/>
        <v>1287.3354571829118</v>
      </c>
      <c r="CL115" s="304">
        <f t="shared" si="47"/>
        <v>14095.860185844547</v>
      </c>
      <c r="CM115" s="304">
        <f t="shared" si="47"/>
        <v>69.460546250876547</v>
      </c>
      <c r="CN115" s="304">
        <f t="shared" si="47"/>
        <v>1398.4723311843145</v>
      </c>
      <c r="CO115" s="304">
        <f t="shared" si="47"/>
        <v>106.50617091801067</v>
      </c>
      <c r="CP115" s="304">
        <f t="shared" si="47"/>
        <v>46.3070308339177</v>
      </c>
      <c r="CQ115" s="304">
        <f t="shared" si="47"/>
        <v>83.352655501051842</v>
      </c>
      <c r="CR115" s="304">
        <f t="shared" si="47"/>
        <v>46307.030833917692</v>
      </c>
      <c r="CS115" s="305">
        <f t="shared" si="52"/>
        <v>0</v>
      </c>
      <c r="CV115" s="267"/>
      <c r="CW115" s="267" t="s">
        <v>26</v>
      </c>
      <c r="CX115" s="267">
        <f>INDEX($M$101:$Z$115,MATCH($CW115,$L$101:$L$115,0),MATCH(CX$102,$M$102:$Z$102,0))/INDEX(고양시_재차인원!$D$4:$H$35,MATCH("고양시",고양시_재차인원!$B$4:$B$35,0),MATCH($CX$101,고양시_재차인원!$D$4:$H$4,0))</f>
        <v>2131.0799865216381</v>
      </c>
      <c r="CY115" s="267">
        <f>INDEX($M$101:$Z$115,MATCH($CW115,$L$101:$L$115,0),MATCH(CY$102,$M$102:$Z$102,0))/INDEX(고양시_재차인원!$K$4:$O$20,MATCH("경기도",고양시_재차인원!$K$4:$K$20,0),MATCH(CY$102,고양시_재차인원!$K$4:$O$4,0))</f>
        <v>1.7627922381797161E-2</v>
      </c>
      <c r="CZ115" s="267">
        <f>INDEX($M$101:$Z$115,MATCH($CW115,$L$101:$L$115,0),MATCH(CZ$102,$M$102:$Z$102,0))/INDEX(고양시_재차인원!$K$4:$O$20,MATCH("경기도",고양시_재차인원!$K$4:$K$20,0),MATCH(CZ$102,고양시_재차인원!$K$4:$O$4,0))</f>
        <v>4.9005624221396102</v>
      </c>
      <c r="DA115" s="267">
        <f>INDEX($M$101:$Z$115,MATCH($CW115,$L$101:$L$115,0),MATCH(DA$102,$M$102:$Z$102,0))/INDEX(고양시_재차인원!$D$4:$H$35,MATCH("고양시",고양시_재차인원!$B$4:$B$35,0),MATCH($CX$101,고양시_재차인원!$D$4:$H$4,0))</f>
        <v>136.84587623421959</v>
      </c>
      <c r="DB115" s="267">
        <f>INDEX($AA$101:$AN$115,MATCH($CW115,$L$101:$L$115,0),MATCH(DB$102,$AA$102:$AN$102,0))/INDEX(고양시_재차인원!$D$4:$H$35,MATCH("고양시",고양시_재차인원!$B$4:$B$35,0),MATCH($DB$101,고양시_재차인원!$D$4:$H$4,0))</f>
        <v>13163.226683029272</v>
      </c>
      <c r="DC115" s="267">
        <f>INDEX($AA$101:$AN$115,MATCH($CW115,$L$101:$L$115,0),MATCH(DC$102,$AA$102:$AN$102,0))/INDEX(고양시_재차인원!$K$4:$O$20,MATCH("경기도",고양시_재차인원!$K$4:$K$20,0),MATCH(DC$102,고양시_재차인원!$K$4:$O$4,0))</f>
        <v>0.13707707519666654</v>
      </c>
      <c r="DD115" s="267">
        <f>INDEX($AA$101:$AN$115,MATCH($CW115,$L$101:$L$115,0),MATCH(DD$102,$AA$102:$AN$102,0))/INDEX(고양시_재차인원!$K$4:$O$20,MATCH("경기도",고양시_재차인원!$K$4:$K$20,0),MATCH(DD$102,고양시_재차인원!$K$4:$O$4,0))</f>
        <v>38.107426904673289</v>
      </c>
      <c r="DE115" s="267">
        <f>INDEX($AA$101:$AN$115,MATCH($CW115,$L$101:$L$115,0),MATCH(DE$102,$AA$102:$AN$102,0))/INDEX(고양시_재차인원!$D$4:$H$35,MATCH("고양시",고양시_재차인원!$B$4:$B$35,0),MATCH($DB$101,고양시_재차인원!$D$4:$H$4,0))</f>
        <v>845.26779891023602</v>
      </c>
      <c r="DF115" s="267">
        <f>INDEX($AO$101:$BB$115,MATCH($CW115,$L$101:$L$115,0),MATCH(DF$102,$AO$102:$BB$102,0))/INDEX(고양시_재차인원!$D$4:$H$35,MATCH("고양시",고양시_재차인원!$B$4:$B$35,0),MATCH($DF$101,고양시_재차인원!$D$4:$H$4,0))</f>
        <v>632.83475818191198</v>
      </c>
      <c r="DG115" s="267">
        <f>INDEX($AO$101:$BB$115,MATCH($CW115,$L$101:$L$115,0),MATCH(DG$102,$AO$102:$BB$102,0))/INDEX(고양시_재차인원!$K$4:$O$20,MATCH("경기도",고양시_재차인원!$K$4:$K$20,0),MATCH(DG$102,고양시_재차인원!$K$4:$O$4,0))</f>
        <v>6.0759897600445667E-3</v>
      </c>
      <c r="DH115" s="267">
        <f>INDEX($AO$101:$BB$115,MATCH($CW115,$L$101:$L$115,0),MATCH(DH$102,$AO$102:$BB$102,0))/INDEX(고양시_재차인원!$K$4:$O$20,MATCH("경기도",고양시_재차인원!$K$4:$K$20,0),MATCH(DH$102,고양시_재차인원!$K$4:$O$4,0))</f>
        <v>1.6891251532923897</v>
      </c>
      <c r="DI115" s="267">
        <f>INDEX($AO$101:$BB$115,MATCH($CW115,$L$101:$L$115,0),MATCH(DI$102,$AO$102:$BB$102,0))/INDEX(고양시_재차인원!$D$4:$H$35,MATCH("고양시",고양시_재차인원!$B$4:$B$35,0),MATCH($DF$101,고양시_재차인원!$D$4:$H$4,0))</f>
        <v>40.637060806067915</v>
      </c>
      <c r="DJ115" s="267">
        <f>INDEX($BC$101:$BP$115,MATCH($CW115,$L$101:$L$115,0),MATCH(DJ$102,$BC$102:$BP$102,0))/INDEX(고양시_재차인원!$D$4:$H$35,MATCH("고양시",고양시_재차인원!$B$4:$B$35,0),MATCH($DJ$101,고양시_재차인원!$D$4:$H$4,0))</f>
        <v>1.6404490242003738</v>
      </c>
      <c r="DK115" s="267">
        <f>INDEX($BC$101:$BP$115,MATCH($CW115,$L$101:$L$115,0),MATCH(DK$102,$BC$102:$BP$102,0))/INDEX(고양시_재차인원!$K$4:$O$20,MATCH("경기도",고양시_재차인원!$K$4:$K$20,0),MATCH(DK$102,고양시_재차인원!$K$4:$O$4,0))</f>
        <v>1.6477260366222595E-5</v>
      </c>
      <c r="DL115" s="267">
        <f>INDEX($BC$101:$BP$115,MATCH($CW115,$L$101:$L$115,0),MATCH(DL$102,$BC$102:$BP$102,0))/INDEX(고양시_재차인원!$K$4:$O$20,MATCH("경기도",고양시_재차인원!$K$4:$K$20,0),MATCH(DL$102,고양시_재차인원!$K$4:$O$4,0))</f>
        <v>4.5806783818098801E-3</v>
      </c>
      <c r="DM115" s="267">
        <f>INDEX($BC$101:$BP$115,MATCH($CW115,$L$101:$L$115,0),MATCH(DM$102,$BC$102:$BP$102,0))/INDEX(고양시_재차인원!$D$4:$H$35,MATCH("고양시",고양시_재차인원!$B$4:$B$35,0),MATCH($DJ$101,고양시_재차인원!$D$4:$H$4,0))</f>
        <v>0.10534033708452327</v>
      </c>
      <c r="DN115" s="267">
        <f>INDEX($BQ$101:$CD$115,MATCH($CW115,$L$101:$L$115,0),MATCH(DN$102,$BQ$102:$CD$102,0))/INDEX(고양시_재차인원!$D$4:$H$35,MATCH("고양시",고양시_재차인원!$B$4:$B$35,0),MATCH($DN$101,고양시_재차인원!$D$4:$H$4,0))</f>
        <v>5.0168229417344588</v>
      </c>
      <c r="DO115" s="267">
        <f>INDEX($BQ$101:$CD$115,MATCH($CW115,$L$101:$L$115,0),MATCH(DO$102,$BQ$102:$CD$102,0))/INDEX(고양시_재차인원!$K$4:$O$20,MATCH("경기도",고양시_재차인원!$K$4:$K$20,0),MATCH(DO$102,고양시_재차인원!$K$4:$O$4,0))</f>
        <v>4.6685571037630509E-5</v>
      </c>
      <c r="DP115" s="267">
        <f>INDEX($BQ$101:$CD$115,MATCH($CW115,$L$101:$L$115,0),MATCH(DP$102,$BQ$102:$CD$102,0))/INDEX(고양시_재차인원!$K$4:$O$20,MATCH("경기도",고양시_재차인원!$K$4:$K$20,0),MATCH(DP$102,고양시_재차인원!$K$4:$O$4,0))</f>
        <v>1.2978588748461282E-2</v>
      </c>
      <c r="DQ115" s="267">
        <f>INDEX($BQ$101:$CD$115,MATCH($CW115,$L$101:$L$115,0),MATCH(DQ$102,$BQ$102:$CD$102,0))/INDEX(고양시_재차인원!$D$4:$H$35,MATCH("고양시",고양시_재차인원!$B$4:$B$35,0),MATCH($DN$101,고양시_재차인원!$D$4:$H$4,0))</f>
        <v>0.3221519303431441</v>
      </c>
      <c r="DR115" s="270">
        <f t="shared" si="53"/>
        <v>15933.798699698757</v>
      </c>
      <c r="DS115" s="270">
        <f t="shared" si="48"/>
        <v>0.1608441501699121</v>
      </c>
      <c r="DT115" s="270">
        <f t="shared" si="48"/>
        <v>44.714673747235551</v>
      </c>
      <c r="DU115" s="270">
        <f t="shared" si="48"/>
        <v>1023.1782282179511</v>
      </c>
      <c r="DW115" s="278"/>
      <c r="DX115" s="278" t="s">
        <v>26</v>
      </c>
      <c r="DY115" s="281">
        <f t="shared" si="54"/>
        <v>16956.976927916709</v>
      </c>
      <c r="DZ115" s="281">
        <f t="shared" si="55"/>
        <v>44.875517897405466</v>
      </c>
      <c r="EC115" s="278" t="s">
        <v>26</v>
      </c>
      <c r="ED115" s="281">
        <f t="shared" si="56"/>
        <v>16956.976927916709</v>
      </c>
      <c r="EE115" s="281">
        <f t="shared" si="49"/>
        <v>44.875517897405466</v>
      </c>
      <c r="EL115" s="322" t="s">
        <v>681</v>
      </c>
      <c r="EM115" s="322" t="s">
        <v>373</v>
      </c>
      <c r="EN115" s="322">
        <v>39402.4712</v>
      </c>
      <c r="EO115" s="322">
        <v>0.21217073572212786</v>
      </c>
      <c r="EP115" s="477">
        <v>849113</v>
      </c>
      <c r="EQ115" s="324">
        <f t="shared" si="57"/>
        <v>869.68001924011901</v>
      </c>
      <c r="ER115" s="324">
        <f t="shared" si="58"/>
        <v>2.3015506498787635</v>
      </c>
      <c r="ET115" s="420" t="s">
        <v>681</v>
      </c>
      <c r="EU115" s="420" t="s">
        <v>373</v>
      </c>
      <c r="EV115" s="412"/>
      <c r="EW115" s="412"/>
      <c r="EX115" s="421">
        <v>849113</v>
      </c>
      <c r="EY115" s="423">
        <f t="shared" si="59"/>
        <v>844.89413869177565</v>
      </c>
      <c r="EZ115" s="423">
        <f t="shared" si="60"/>
        <v>2.235956456357219</v>
      </c>
      <c r="FA115">
        <v>0</v>
      </c>
      <c r="FD115" s="322" t="s">
        <v>370</v>
      </c>
      <c r="FE115" s="322" t="s">
        <v>373</v>
      </c>
      <c r="FF115" s="75"/>
      <c r="FG115" s="75"/>
      <c r="FH115" s="323">
        <v>849113</v>
      </c>
      <c r="FI115" s="327">
        <f t="shared" si="61"/>
        <v>844.89413869177565</v>
      </c>
      <c r="FJ115" s="327">
        <f t="shared" si="50"/>
        <v>2.235956456357219</v>
      </c>
      <c r="FL115" s="101"/>
      <c r="FM115" s="101"/>
      <c r="FN115" s="34"/>
      <c r="FO115" s="34"/>
      <c r="FP115" s="374"/>
      <c r="FQ115" s="405"/>
      <c r="FR115" s="405"/>
    </row>
    <row r="116" spans="1:174">
      <c r="Z116">
        <f>Z115/H115</f>
        <v>0.10959629158521107</v>
      </c>
      <c r="ED116" s="230">
        <f>SUM(ED103:ED114)-ED115</f>
        <v>0</v>
      </c>
      <c r="EE116" s="230" t="b">
        <f>SUM(EE103:EE114)=EE115</f>
        <v>1</v>
      </c>
      <c r="EL116" s="75" t="s">
        <v>669</v>
      </c>
      <c r="EM116" s="325" t="s">
        <v>682</v>
      </c>
      <c r="EN116" s="75">
        <v>39402.4712</v>
      </c>
      <c r="EO116" s="75">
        <v>0.19507846659237171</v>
      </c>
      <c r="EP116" s="478"/>
      <c r="EQ116" s="324">
        <f t="shared" si="57"/>
        <v>601.04928723106264</v>
      </c>
      <c r="ER116" s="324">
        <f t="shared" si="58"/>
        <v>1.5906371849781196</v>
      </c>
      <c r="ET116" s="420" t="s">
        <v>669</v>
      </c>
      <c r="EU116" s="420" t="s">
        <v>569</v>
      </c>
      <c r="EV116" s="420">
        <v>70189.171300000002</v>
      </c>
      <c r="EW116" s="420">
        <v>0.34750094325538916</v>
      </c>
      <c r="EX116" s="421">
        <v>849114</v>
      </c>
      <c r="EY116" s="423">
        <f t="shared" si="59"/>
        <v>583.91938254497734</v>
      </c>
      <c r="EZ116" s="423">
        <f t="shared" si="60"/>
        <v>1.5453040252062431</v>
      </c>
      <c r="FA116">
        <v>0</v>
      </c>
      <c r="FD116" s="306" t="s">
        <v>669</v>
      </c>
      <c r="FE116" s="306" t="s">
        <v>569</v>
      </c>
      <c r="FF116" s="306">
        <v>70189.171300000002</v>
      </c>
      <c r="FG116" s="306">
        <v>0.34750094325538916</v>
      </c>
      <c r="FH116" s="307">
        <v>849114</v>
      </c>
      <c r="FI116" s="326">
        <f t="shared" si="61"/>
        <v>583.91938254497734</v>
      </c>
      <c r="FJ116" s="326">
        <f t="shared" si="50"/>
        <v>1.5453040252062431</v>
      </c>
      <c r="FL116" s="101"/>
      <c r="FM116" s="101"/>
      <c r="FN116" s="101"/>
      <c r="FO116" s="101"/>
      <c r="FP116" s="374"/>
      <c r="FQ116" s="405"/>
      <c r="FR116" s="405"/>
    </row>
    <row r="117" spans="1:174">
      <c r="EL117" s="306" t="s">
        <v>669</v>
      </c>
      <c r="EM117" s="306" t="s">
        <v>569</v>
      </c>
      <c r="EN117" s="306">
        <v>70189.171300000002</v>
      </c>
      <c r="EO117" s="306">
        <v>0.34750094325538916</v>
      </c>
      <c r="EP117" s="308">
        <v>849114</v>
      </c>
      <c r="EQ117" s="308">
        <f t="shared" si="57"/>
        <v>1070.6727293085098</v>
      </c>
      <c r="ER117" s="308">
        <f t="shared" si="58"/>
        <v>2.8334645633236075</v>
      </c>
      <c r="ET117" s="420" t="s">
        <v>669</v>
      </c>
      <c r="EU117" s="420" t="s">
        <v>79</v>
      </c>
      <c r="EV117" s="420">
        <v>51949.691800000001</v>
      </c>
      <c r="EW117" s="420">
        <v>0.2571987468717522</v>
      </c>
      <c r="EX117" s="421">
        <v>849115</v>
      </c>
      <c r="EY117" s="423">
        <f t="shared" si="59"/>
        <v>1040.1585565232174</v>
      </c>
      <c r="EZ117" s="423">
        <f t="shared" si="60"/>
        <v>2.7527108232688846</v>
      </c>
      <c r="FA117">
        <v>0</v>
      </c>
      <c r="FD117" s="306" t="s">
        <v>669</v>
      </c>
      <c r="FE117" s="306" t="s">
        <v>79</v>
      </c>
      <c r="FF117" s="306">
        <v>51949.691800000001</v>
      </c>
      <c r="FG117" s="306">
        <v>0.2571987468717522</v>
      </c>
      <c r="FH117" s="307">
        <v>849115</v>
      </c>
      <c r="FI117" s="326">
        <f t="shared" si="61"/>
        <v>1040.1585565232174</v>
      </c>
      <c r="FJ117" s="326">
        <f t="shared" si="50"/>
        <v>2.7527108232688846</v>
      </c>
      <c r="FL117" s="101"/>
      <c r="FM117" s="101"/>
      <c r="FN117" s="101"/>
      <c r="FO117" s="101"/>
      <c r="FP117" s="374"/>
      <c r="FQ117" s="405"/>
      <c r="FR117" s="405"/>
    </row>
    <row r="118" spans="1:174">
      <c r="EL118" s="306" t="s">
        <v>669</v>
      </c>
      <c r="EM118" s="306" t="s">
        <v>79</v>
      </c>
      <c r="EN118" s="306">
        <v>51949.691800000001</v>
      </c>
      <c r="EO118" s="306">
        <v>0.2571987468717522</v>
      </c>
      <c r="EP118" s="308">
        <v>849115</v>
      </c>
      <c r="EQ118" s="308">
        <f t="shared" si="57"/>
        <v>792.44586132108827</v>
      </c>
      <c r="ER118" s="308">
        <f t="shared" si="58"/>
        <v>2.0971555592491087</v>
      </c>
      <c r="ET118" s="420" t="s">
        <v>669</v>
      </c>
      <c r="EU118" s="420" t="s">
        <v>223</v>
      </c>
      <c r="EV118" s="420">
        <v>40441.3442</v>
      </c>
      <c r="EW118" s="420">
        <v>0.20022184328048706</v>
      </c>
      <c r="EX118" s="421">
        <v>849116</v>
      </c>
      <c r="EY118" s="423">
        <f t="shared" si="59"/>
        <v>769.86115427343725</v>
      </c>
      <c r="EZ118" s="423">
        <f t="shared" si="60"/>
        <v>2.0373866258105093</v>
      </c>
      <c r="FA118">
        <v>0</v>
      </c>
      <c r="FD118" s="306" t="s">
        <v>669</v>
      </c>
      <c r="FE118" s="306" t="s">
        <v>223</v>
      </c>
      <c r="FF118" s="306">
        <v>40441.3442</v>
      </c>
      <c r="FG118" s="306">
        <v>0.20022184328048706</v>
      </c>
      <c r="FH118" s="307">
        <v>849116</v>
      </c>
      <c r="FI118" s="326">
        <f t="shared" si="61"/>
        <v>769.86115427343725</v>
      </c>
      <c r="FJ118" s="326">
        <f t="shared" si="50"/>
        <v>2.0373866258105093</v>
      </c>
      <c r="FL118" s="101"/>
      <c r="FM118" s="101"/>
      <c r="FN118" s="101"/>
      <c r="FO118" s="101"/>
      <c r="FP118" s="374"/>
      <c r="FQ118" s="405"/>
      <c r="FR118" s="405"/>
    </row>
    <row r="119" spans="1:174">
      <c r="EL119" s="306" t="s">
        <v>669</v>
      </c>
      <c r="EM119" s="306" t="s">
        <v>223</v>
      </c>
      <c r="EN119" s="306">
        <v>40441.3442</v>
      </c>
      <c r="EO119" s="306">
        <v>0.20022184328048706</v>
      </c>
      <c r="EP119" s="308">
        <v>849116</v>
      </c>
      <c r="EQ119" s="308">
        <f t="shared" si="57"/>
        <v>616.89636121289936</v>
      </c>
      <c r="ER119" s="308">
        <f t="shared" si="58"/>
        <v>1.6325754181382206</v>
      </c>
      <c r="ET119" s="420" t="s">
        <v>670</v>
      </c>
      <c r="EU119" s="420" t="s">
        <v>570</v>
      </c>
      <c r="EV119" s="420">
        <v>53247.161800000002</v>
      </c>
      <c r="EW119" s="420">
        <v>1</v>
      </c>
      <c r="EX119" s="421">
        <v>849117</v>
      </c>
      <c r="EY119" s="423">
        <f t="shared" si="59"/>
        <v>599.31481491833176</v>
      </c>
      <c r="EZ119" s="423">
        <f t="shared" si="60"/>
        <v>1.5860470187212814</v>
      </c>
      <c r="FA119">
        <v>0</v>
      </c>
      <c r="FD119" s="322" t="s">
        <v>670</v>
      </c>
      <c r="FE119" s="322" t="s">
        <v>570</v>
      </c>
      <c r="FF119" s="322">
        <v>53247.161800000002</v>
      </c>
      <c r="FG119" s="322">
        <v>1</v>
      </c>
      <c r="FH119" s="323">
        <v>849117</v>
      </c>
      <c r="FI119" s="327">
        <f t="shared" si="61"/>
        <v>599.31481491833176</v>
      </c>
      <c r="FJ119" s="327">
        <f t="shared" si="50"/>
        <v>1.5860470187212814</v>
      </c>
      <c r="FL119" s="101"/>
      <c r="FM119" s="101"/>
      <c r="FN119" s="101"/>
      <c r="FO119" s="101"/>
      <c r="FP119" s="374"/>
      <c r="FQ119" s="405"/>
      <c r="FR119" s="405"/>
    </row>
    <row r="120" spans="1:174">
      <c r="EL120" s="322" t="s">
        <v>670</v>
      </c>
      <c r="EM120" s="322" t="s">
        <v>570</v>
      </c>
      <c r="EN120" s="322">
        <v>53247.161800000002</v>
      </c>
      <c r="EO120" s="322">
        <v>1</v>
      </c>
      <c r="EP120" s="323">
        <v>849117</v>
      </c>
      <c r="EQ120" s="324">
        <f>ED107+ED106</f>
        <v>1362.5543113427311</v>
      </c>
      <c r="ER120" s="324">
        <f>EE107+EE106</f>
        <v>3.6059098649938353</v>
      </c>
      <c r="ET120" s="420" t="s">
        <v>13</v>
      </c>
      <c r="EU120" s="420" t="s">
        <v>575</v>
      </c>
      <c r="EV120" s="420">
        <v>8507.8255000000008</v>
      </c>
      <c r="EW120" s="420">
        <v>0.38150552170840318</v>
      </c>
      <c r="EX120" s="421">
        <v>849118</v>
      </c>
      <c r="EY120" s="423">
        <f t="shared" si="59"/>
        <v>1323.7215134694634</v>
      </c>
      <c r="EZ120" s="423">
        <f t="shared" si="60"/>
        <v>3.503141433841511</v>
      </c>
      <c r="FA120">
        <v>0</v>
      </c>
      <c r="FD120" s="306" t="s">
        <v>13</v>
      </c>
      <c r="FE120" s="306" t="s">
        <v>575</v>
      </c>
      <c r="FF120" s="306">
        <v>8507.8255000000008</v>
      </c>
      <c r="FG120" s="306">
        <v>0.38150552170840318</v>
      </c>
      <c r="FH120" s="307">
        <v>849118</v>
      </c>
      <c r="FI120" s="326">
        <f t="shared" si="61"/>
        <v>1323.7215134694634</v>
      </c>
      <c r="FJ120" s="326">
        <f t="shared" si="50"/>
        <v>3.503141433841511</v>
      </c>
      <c r="FL120" s="101"/>
      <c r="FM120" s="101"/>
      <c r="FN120" s="101"/>
      <c r="FO120" s="101"/>
      <c r="FP120" s="374"/>
      <c r="FQ120" s="405"/>
      <c r="FR120" s="405"/>
    </row>
    <row r="121" spans="1:174">
      <c r="EL121" s="306" t="s">
        <v>13</v>
      </c>
      <c r="EM121" s="306" t="s">
        <v>575</v>
      </c>
      <c r="EN121" s="306">
        <v>8507.8255000000008</v>
      </c>
      <c r="EO121" s="306">
        <v>0.38150552170840318</v>
      </c>
      <c r="EP121" s="308">
        <v>849118</v>
      </c>
      <c r="EQ121" s="308">
        <f t="shared" si="57"/>
        <v>110.40407505384695</v>
      </c>
      <c r="ER121" s="308">
        <f t="shared" si="58"/>
        <v>0.2921770824532281</v>
      </c>
      <c r="ET121" s="420" t="s">
        <v>13</v>
      </c>
      <c r="EU121" s="420" t="s">
        <v>576</v>
      </c>
      <c r="EV121" s="420">
        <v>5790.3404</v>
      </c>
      <c r="EW121" s="420">
        <v>0.25964881804066664</v>
      </c>
      <c r="EX121" s="421">
        <v>849119</v>
      </c>
      <c r="EY121" s="423">
        <f t="shared" si="59"/>
        <v>107.25755891481232</v>
      </c>
      <c r="EZ121" s="423">
        <f t="shared" si="60"/>
        <v>0.28385003560331112</v>
      </c>
      <c r="FA121">
        <v>0</v>
      </c>
      <c r="FD121" s="306" t="s">
        <v>13</v>
      </c>
      <c r="FE121" s="306" t="s">
        <v>576</v>
      </c>
      <c r="FF121" s="306">
        <v>5790.3404</v>
      </c>
      <c r="FG121" s="306">
        <v>0.25964881804066664</v>
      </c>
      <c r="FH121" s="307">
        <v>849119</v>
      </c>
      <c r="FI121" s="326">
        <f t="shared" si="61"/>
        <v>107.25755891481232</v>
      </c>
      <c r="FJ121" s="326">
        <f t="shared" si="50"/>
        <v>0.28385003560331112</v>
      </c>
      <c r="FL121" s="101"/>
      <c r="FM121" s="101"/>
      <c r="FN121" s="101"/>
      <c r="FO121" s="101"/>
      <c r="FP121" s="374"/>
      <c r="FQ121" s="405"/>
      <c r="FR121" s="405"/>
    </row>
    <row r="122" spans="1:174">
      <c r="EL122" s="306" t="s">
        <v>13</v>
      </c>
      <c r="EM122" s="306" t="s">
        <v>576</v>
      </c>
      <c r="EN122" s="306">
        <v>5790.3404</v>
      </c>
      <c r="EO122" s="306">
        <v>0.25964881804066664</v>
      </c>
      <c r="EP122" s="308">
        <v>849119</v>
      </c>
      <c r="EQ122" s="308">
        <f t="shared" si="57"/>
        <v>75.139902212254128</v>
      </c>
      <c r="ER122" s="308">
        <f t="shared" si="58"/>
        <v>0.19885278141671542</v>
      </c>
      <c r="ET122" s="420" t="s">
        <v>13</v>
      </c>
      <c r="EU122" s="420" t="s">
        <v>382</v>
      </c>
      <c r="EV122" s="420">
        <v>1771.3566000000001</v>
      </c>
      <c r="EW122" s="420">
        <v>7.943067518423165E-2</v>
      </c>
      <c r="EX122" s="421">
        <v>849120</v>
      </c>
      <c r="EY122" s="423">
        <f t="shared" si="59"/>
        <v>72.998414999204883</v>
      </c>
      <c r="EZ122" s="423">
        <f t="shared" si="60"/>
        <v>0.19318547714633905</v>
      </c>
      <c r="FA122">
        <v>0</v>
      </c>
      <c r="FD122" s="306" t="s">
        <v>13</v>
      </c>
      <c r="FE122" s="306" t="s">
        <v>382</v>
      </c>
      <c r="FF122" s="306">
        <v>1771.3566000000001</v>
      </c>
      <c r="FG122" s="306">
        <v>7.943067518423165E-2</v>
      </c>
      <c r="FH122" s="307">
        <v>849120</v>
      </c>
      <c r="FI122" s="326">
        <f t="shared" si="61"/>
        <v>72.998414999204883</v>
      </c>
      <c r="FJ122" s="326">
        <f t="shared" si="50"/>
        <v>0.19318547714633905</v>
      </c>
      <c r="FL122" s="101"/>
      <c r="FM122" s="101"/>
      <c r="FN122" s="101"/>
      <c r="FO122" s="101"/>
      <c r="FP122" s="374"/>
      <c r="FQ122" s="405"/>
      <c r="FR122" s="405"/>
    </row>
    <row r="123" spans="1:174">
      <c r="EL123" s="306" t="s">
        <v>13</v>
      </c>
      <c r="EM123" s="306" t="s">
        <v>382</v>
      </c>
      <c r="EN123" s="306">
        <v>1771.3566000000001</v>
      </c>
      <c r="EO123" s="306">
        <v>7.943067518423165E-2</v>
      </c>
      <c r="EP123" s="308">
        <v>849120</v>
      </c>
      <c r="EQ123" s="308">
        <f t="shared" si="57"/>
        <v>22.986483092950973</v>
      </c>
      <c r="ER123" s="308">
        <f t="shared" si="58"/>
        <v>6.0832207168831781E-2</v>
      </c>
      <c r="ET123" s="420" t="s">
        <v>13</v>
      </c>
      <c r="EU123" s="420" t="s">
        <v>383</v>
      </c>
      <c r="EV123" s="420">
        <v>6231.1390000000001</v>
      </c>
      <c r="EW123" s="420">
        <v>0.2794149850666986</v>
      </c>
      <c r="EX123" s="421">
        <v>849121</v>
      </c>
      <c r="EY123" s="423">
        <f t="shared" si="59"/>
        <v>22.331368324801872</v>
      </c>
      <c r="EZ123" s="423">
        <f t="shared" si="60"/>
        <v>5.9098489264520077E-2</v>
      </c>
      <c r="FA123">
        <v>0</v>
      </c>
      <c r="FD123" s="306" t="s">
        <v>13</v>
      </c>
      <c r="FE123" s="306" t="s">
        <v>383</v>
      </c>
      <c r="FF123" s="306">
        <v>6231.1390000000001</v>
      </c>
      <c r="FG123" s="306">
        <v>0.2794149850666986</v>
      </c>
      <c r="FH123" s="307">
        <v>849121</v>
      </c>
      <c r="FI123" s="326">
        <f t="shared" si="61"/>
        <v>22.331368324801872</v>
      </c>
      <c r="FJ123" s="326">
        <f t="shared" si="50"/>
        <v>5.9098489264520077E-2</v>
      </c>
      <c r="FL123" s="101"/>
      <c r="FM123" s="101"/>
      <c r="FN123" s="101"/>
      <c r="FO123" s="101"/>
      <c r="FP123" s="374"/>
      <c r="FQ123" s="405"/>
      <c r="FR123" s="405"/>
    </row>
    <row r="124" spans="1:174">
      <c r="EL124" s="306" t="s">
        <v>13</v>
      </c>
      <c r="EM124" s="306" t="s">
        <v>383</v>
      </c>
      <c r="EN124" s="306">
        <v>6231.1390000000001</v>
      </c>
      <c r="EO124" s="306">
        <v>0.2794149850666986</v>
      </c>
      <c r="EP124" s="308">
        <v>849121</v>
      </c>
      <c r="EQ124" s="308">
        <f t="shared" si="57"/>
        <v>80.860043242183664</v>
      </c>
      <c r="ER124" s="308">
        <f t="shared" si="58"/>
        <v>0.21399075631964071</v>
      </c>
      <c r="ET124" s="420" t="s">
        <v>301</v>
      </c>
      <c r="EU124" s="420" t="s">
        <v>577</v>
      </c>
      <c r="EV124" s="420">
        <v>11058.6175</v>
      </c>
      <c r="EW124" s="420">
        <v>0.1539041977987548</v>
      </c>
      <c r="EX124" s="421">
        <v>849122</v>
      </c>
      <c r="EY124" s="423">
        <f t="shared" si="59"/>
        <v>78.55553200978143</v>
      </c>
      <c r="EZ124" s="423">
        <f t="shared" si="60"/>
        <v>0.20789201976453095</v>
      </c>
      <c r="FA124">
        <v>0</v>
      </c>
      <c r="FD124" s="306" t="s">
        <v>301</v>
      </c>
      <c r="FE124" s="306" t="s">
        <v>577</v>
      </c>
      <c r="FF124" s="306">
        <v>11058.6175</v>
      </c>
      <c r="FG124" s="306">
        <v>0.1539041977987548</v>
      </c>
      <c r="FH124" s="307">
        <v>849122</v>
      </c>
      <c r="FI124" s="326">
        <f t="shared" si="61"/>
        <v>78.55553200978143</v>
      </c>
      <c r="FJ124" s="326">
        <f t="shared" si="50"/>
        <v>0.20789201976453095</v>
      </c>
      <c r="FL124" s="101"/>
      <c r="FM124" s="101"/>
      <c r="FN124" s="101"/>
      <c r="FO124" s="101"/>
      <c r="FP124" s="374"/>
      <c r="FQ124" s="405"/>
      <c r="FR124" s="405"/>
    </row>
    <row r="125" spans="1:174">
      <c r="EL125" s="306" t="s">
        <v>301</v>
      </c>
      <c r="EM125" s="306" t="s">
        <v>577</v>
      </c>
      <c r="EN125" s="306">
        <v>11058.6175</v>
      </c>
      <c r="EO125" s="306">
        <v>0.1539041977987548</v>
      </c>
      <c r="EP125" s="308">
        <v>849122</v>
      </c>
      <c r="EQ125" s="308">
        <f t="shared" si="57"/>
        <v>782.15323381620499</v>
      </c>
      <c r="ER125" s="308">
        <f t="shared" si="58"/>
        <v>2.0699168013165967</v>
      </c>
      <c r="ET125" s="420" t="s">
        <v>301</v>
      </c>
      <c r="EU125" s="420" t="s">
        <v>103</v>
      </c>
      <c r="EV125" s="420">
        <v>11210.3078</v>
      </c>
      <c r="EW125" s="420">
        <v>0.15601529115516691</v>
      </c>
      <c r="EX125" s="421">
        <v>849123</v>
      </c>
      <c r="EY125" s="423">
        <f t="shared" si="59"/>
        <v>759.86186665244315</v>
      </c>
      <c r="EZ125" s="423">
        <f t="shared" si="60"/>
        <v>2.0109241724790738</v>
      </c>
      <c r="FA125">
        <v>0</v>
      </c>
      <c r="FD125" s="306" t="s">
        <v>301</v>
      </c>
      <c r="FE125" s="306" t="s">
        <v>103</v>
      </c>
      <c r="FF125" s="306">
        <v>11210.3078</v>
      </c>
      <c r="FG125" s="306">
        <v>0.15601529115516691</v>
      </c>
      <c r="FH125" s="307">
        <v>849123</v>
      </c>
      <c r="FI125" s="326">
        <f t="shared" si="61"/>
        <v>759.86186665244315</v>
      </c>
      <c r="FJ125" s="326">
        <f t="shared" si="50"/>
        <v>2.0109241724790738</v>
      </c>
      <c r="FL125" s="101"/>
      <c r="FM125" s="101"/>
      <c r="FN125" s="101"/>
      <c r="FO125" s="101"/>
      <c r="FP125" s="374"/>
      <c r="FQ125" s="405"/>
      <c r="FR125" s="405"/>
    </row>
    <row r="126" spans="1:174">
      <c r="EL126" s="306" t="s">
        <v>301</v>
      </c>
      <c r="EM126" s="306" t="s">
        <v>103</v>
      </c>
      <c r="EN126" s="306">
        <v>11210.3078</v>
      </c>
      <c r="EO126" s="306">
        <v>0.15601529115516691</v>
      </c>
      <c r="EP126" s="308">
        <v>849123</v>
      </c>
      <c r="EQ126" s="308">
        <f t="shared" si="57"/>
        <v>792.88197623663427</v>
      </c>
      <c r="ER126" s="308">
        <f t="shared" si="58"/>
        <v>2.0983097085282583</v>
      </c>
      <c r="ET126" s="420" t="s">
        <v>301</v>
      </c>
      <c r="EU126" s="420" t="s">
        <v>104</v>
      </c>
      <c r="EV126" s="420">
        <v>10719.050499999999</v>
      </c>
      <c r="EW126" s="420">
        <v>0.14917840031693305</v>
      </c>
      <c r="EX126" s="421">
        <v>849124</v>
      </c>
      <c r="EY126" s="423">
        <f t="shared" si="59"/>
        <v>770.28483991389021</v>
      </c>
      <c r="EZ126" s="423">
        <f t="shared" si="60"/>
        <v>2.0385078818352032</v>
      </c>
      <c r="FA126">
        <v>0</v>
      </c>
      <c r="FD126" s="306" t="s">
        <v>301</v>
      </c>
      <c r="FE126" s="306" t="s">
        <v>104</v>
      </c>
      <c r="FF126" s="306">
        <v>10719.050499999999</v>
      </c>
      <c r="FG126" s="306">
        <v>0.14917840031693305</v>
      </c>
      <c r="FH126" s="307">
        <v>849124</v>
      </c>
      <c r="FI126" s="326">
        <f t="shared" si="61"/>
        <v>770.28483991389021</v>
      </c>
      <c r="FJ126" s="326">
        <f t="shared" si="50"/>
        <v>2.0385078818352032</v>
      </c>
      <c r="FL126" s="101"/>
      <c r="FM126" s="101"/>
      <c r="FN126" s="101"/>
      <c r="FO126" s="101"/>
      <c r="FP126" s="374"/>
      <c r="FQ126" s="405"/>
      <c r="FR126" s="405"/>
    </row>
    <row r="127" spans="1:174">
      <c r="EL127" s="306" t="s">
        <v>301</v>
      </c>
      <c r="EM127" s="306" t="s">
        <v>104</v>
      </c>
      <c r="EN127" s="306">
        <v>10719.050499999999</v>
      </c>
      <c r="EO127" s="306">
        <v>0.14917840031693305</v>
      </c>
      <c r="EP127" s="308">
        <v>849124</v>
      </c>
      <c r="EQ127" s="308">
        <f t="shared" si="57"/>
        <v>758.1363594512793</v>
      </c>
      <c r="ER127" s="308">
        <f t="shared" si="58"/>
        <v>2.0063577317970407</v>
      </c>
      <c r="ET127" s="420" t="s">
        <v>301</v>
      </c>
      <c r="EU127" s="420" t="s">
        <v>117</v>
      </c>
      <c r="EV127" s="420">
        <v>25550.6122</v>
      </c>
      <c r="EW127" s="420">
        <v>0.35559114635333733</v>
      </c>
      <c r="EX127" s="421">
        <v>849125</v>
      </c>
      <c r="EY127" s="423">
        <f t="shared" si="59"/>
        <v>736.52947320691783</v>
      </c>
      <c r="EZ127" s="423">
        <f t="shared" si="60"/>
        <v>1.9491765364408251</v>
      </c>
      <c r="FA127">
        <v>0</v>
      </c>
      <c r="FD127" s="306" t="s">
        <v>301</v>
      </c>
      <c r="FE127" s="306" t="s">
        <v>117</v>
      </c>
      <c r="FF127" s="306">
        <v>25550.6122</v>
      </c>
      <c r="FG127" s="306">
        <v>0.35559114635333733</v>
      </c>
      <c r="FH127" s="307">
        <v>849125</v>
      </c>
      <c r="FI127" s="326">
        <f t="shared" si="61"/>
        <v>736.52947320691783</v>
      </c>
      <c r="FJ127" s="326">
        <f t="shared" si="50"/>
        <v>1.9491765364408251</v>
      </c>
      <c r="FL127" s="101"/>
      <c r="FM127" s="101"/>
      <c r="FN127" s="101"/>
      <c r="FO127" s="101"/>
      <c r="FP127" s="374"/>
      <c r="FQ127" s="405"/>
      <c r="FR127" s="405"/>
    </row>
    <row r="128" spans="1:174">
      <c r="EL128" s="306" t="s">
        <v>301</v>
      </c>
      <c r="EM128" s="306" t="s">
        <v>117</v>
      </c>
      <c r="EN128" s="306">
        <v>25550.6122</v>
      </c>
      <c r="EO128" s="306">
        <v>0.35559114635333733</v>
      </c>
      <c r="EP128" s="308">
        <v>849125</v>
      </c>
      <c r="EQ128" s="308">
        <f t="shared" si="57"/>
        <v>1807.142163856719</v>
      </c>
      <c r="ER128" s="308">
        <f t="shared" si="58"/>
        <v>4.7824822114251448</v>
      </c>
      <c r="ET128" s="420" t="s">
        <v>301</v>
      </c>
      <c r="EU128" s="420" t="s">
        <v>118</v>
      </c>
      <c r="EV128" s="420">
        <v>13315.3163</v>
      </c>
      <c r="EW128" s="420">
        <v>0.18531096437580774</v>
      </c>
      <c r="EX128" s="421">
        <v>849126</v>
      </c>
      <c r="EY128" s="423">
        <f t="shared" si="59"/>
        <v>1755.6386121868024</v>
      </c>
      <c r="EZ128" s="423">
        <f t="shared" si="60"/>
        <v>4.6461814683995284</v>
      </c>
      <c r="FA128">
        <v>0</v>
      </c>
      <c r="FD128" s="306" t="s">
        <v>301</v>
      </c>
      <c r="FE128" s="306" t="s">
        <v>118</v>
      </c>
      <c r="FF128" s="306">
        <v>13315.3163</v>
      </c>
      <c r="FG128" s="306">
        <v>0.18531096437580774</v>
      </c>
      <c r="FH128" s="307">
        <v>849126</v>
      </c>
      <c r="FI128" s="326">
        <f t="shared" si="61"/>
        <v>1755.6386121868024</v>
      </c>
      <c r="FJ128" s="326">
        <f t="shared" si="50"/>
        <v>4.6461814683995284</v>
      </c>
      <c r="FL128" s="101"/>
      <c r="FM128" s="101"/>
      <c r="FN128" s="101"/>
      <c r="FO128" s="101"/>
      <c r="FP128" s="374"/>
      <c r="FQ128" s="405"/>
      <c r="FR128" s="405"/>
    </row>
    <row r="129" spans="1:174">
      <c r="EL129" s="306" t="s">
        <v>301</v>
      </c>
      <c r="EM129" s="306" t="s">
        <v>118</v>
      </c>
      <c r="EN129" s="306">
        <v>13315.3163</v>
      </c>
      <c r="EO129" s="306">
        <v>0.18531096437580774</v>
      </c>
      <c r="EP129" s="308">
        <v>849126</v>
      </c>
      <c r="EQ129" s="308">
        <f t="shared" si="57"/>
        <v>941.7648908944202</v>
      </c>
      <c r="ER129" s="308">
        <f t="shared" si="58"/>
        <v>2.4923184949849961</v>
      </c>
      <c r="ET129" s="420" t="s">
        <v>302</v>
      </c>
      <c r="EU129" s="420" t="s">
        <v>579</v>
      </c>
      <c r="EV129" s="420">
        <v>15739.680700000001</v>
      </c>
      <c r="EW129" s="420">
        <v>0.310763615277375</v>
      </c>
      <c r="EX129" s="421">
        <v>849127</v>
      </c>
      <c r="EY129" s="423">
        <f t="shared" si="59"/>
        <v>914.92459150392926</v>
      </c>
      <c r="EZ129" s="423">
        <f t="shared" si="60"/>
        <v>2.4212874178779238</v>
      </c>
      <c r="FA129">
        <v>0</v>
      </c>
      <c r="FD129" s="306" t="s">
        <v>302</v>
      </c>
      <c r="FE129" s="306" t="s">
        <v>579</v>
      </c>
      <c r="FF129" s="306">
        <v>15739.680700000001</v>
      </c>
      <c r="FG129" s="306">
        <v>0.310763615277375</v>
      </c>
      <c r="FH129" s="307">
        <v>849127</v>
      </c>
      <c r="FI129" s="326">
        <f t="shared" si="61"/>
        <v>914.92459150392926</v>
      </c>
      <c r="FJ129" s="326">
        <f t="shared" si="50"/>
        <v>2.4212874178779238</v>
      </c>
      <c r="FL129" s="101"/>
      <c r="FM129" s="101"/>
      <c r="FN129" s="101"/>
      <c r="FO129" s="101"/>
      <c r="FP129" s="374"/>
      <c r="FQ129" s="405"/>
      <c r="FR129" s="405"/>
    </row>
    <row r="130" spans="1:174">
      <c r="EL130" s="306" t="s">
        <v>302</v>
      </c>
      <c r="EM130" s="306" t="s">
        <v>579</v>
      </c>
      <c r="EN130" s="306">
        <v>15739.680700000001</v>
      </c>
      <c r="EO130" s="306">
        <v>0.310763615277375</v>
      </c>
      <c r="EP130" s="308">
        <v>849127</v>
      </c>
      <c r="EQ130" s="308">
        <f t="shared" si="57"/>
        <v>18.820432837241405</v>
      </c>
      <c r="ER130" s="308">
        <f t="shared" si="58"/>
        <v>4.9807030711594348E-2</v>
      </c>
      <c r="ET130" s="420" t="s">
        <v>302</v>
      </c>
      <c r="EU130" s="420" t="s">
        <v>580</v>
      </c>
      <c r="EV130" s="420">
        <v>34908.721899999997</v>
      </c>
      <c r="EW130" s="420">
        <v>0.68923638472262494</v>
      </c>
      <c r="EX130" s="421">
        <v>849128</v>
      </c>
      <c r="EY130" s="423">
        <f t="shared" si="59"/>
        <v>18.284050501380026</v>
      </c>
      <c r="EZ130" s="423">
        <f t="shared" si="60"/>
        <v>4.8387530336313912E-2</v>
      </c>
      <c r="FA130">
        <v>0</v>
      </c>
      <c r="FD130" s="306" t="s">
        <v>302</v>
      </c>
      <c r="FE130" s="306" t="s">
        <v>580</v>
      </c>
      <c r="FF130" s="306">
        <v>34908.721899999997</v>
      </c>
      <c r="FG130" s="306">
        <v>0.68923638472262494</v>
      </c>
      <c r="FH130" s="307">
        <v>849128</v>
      </c>
      <c r="FI130" s="326">
        <f t="shared" si="61"/>
        <v>18.284050501380026</v>
      </c>
      <c r="FJ130" s="326">
        <f t="shared" si="50"/>
        <v>4.8387530336313912E-2</v>
      </c>
      <c r="FL130" s="101"/>
      <c r="FM130" s="101"/>
      <c r="FN130" s="101"/>
      <c r="FO130" s="101"/>
      <c r="FP130" s="374"/>
      <c r="FQ130" s="405"/>
      <c r="FR130" s="405"/>
    </row>
    <row r="131" spans="1:174">
      <c r="EL131" s="306" t="s">
        <v>302</v>
      </c>
      <c r="EM131" s="306" t="s">
        <v>580</v>
      </c>
      <c r="EN131" s="306">
        <v>34908.721899999997</v>
      </c>
      <c r="EO131" s="306">
        <v>0.68923638472262494</v>
      </c>
      <c r="EP131" s="308">
        <v>849128</v>
      </c>
      <c r="EQ131" s="308">
        <f t="shared" si="57"/>
        <v>41.741460228789023</v>
      </c>
      <c r="ER131" s="308">
        <f t="shared" si="58"/>
        <v>0.1104660136959326</v>
      </c>
      <c r="ET131" s="420" t="s">
        <v>303</v>
      </c>
      <c r="EU131" s="420" t="s">
        <v>582</v>
      </c>
      <c r="EV131" s="420">
        <v>4662.5794999999998</v>
      </c>
      <c r="EW131" s="420">
        <v>1</v>
      </c>
      <c r="EX131" s="421">
        <v>849129</v>
      </c>
      <c r="EY131" s="423">
        <f t="shared" si="59"/>
        <v>40.551828612268537</v>
      </c>
      <c r="EZ131" s="423">
        <f t="shared" si="60"/>
        <v>0.10731773230559853</v>
      </c>
      <c r="FA131">
        <v>0</v>
      </c>
      <c r="FD131" s="306" t="s">
        <v>303</v>
      </c>
      <c r="FE131" s="306" t="s">
        <v>582</v>
      </c>
      <c r="FF131" s="306">
        <v>4662.5794999999998</v>
      </c>
      <c r="FG131" s="306">
        <v>1</v>
      </c>
      <c r="FH131" s="307">
        <v>849129</v>
      </c>
      <c r="FI131" s="326">
        <f t="shared" si="61"/>
        <v>40.551828612268537</v>
      </c>
      <c r="FJ131" s="326">
        <f t="shared" si="50"/>
        <v>0.10731773230559853</v>
      </c>
      <c r="FL131" s="101"/>
      <c r="FM131" s="101"/>
      <c r="FN131" s="101"/>
      <c r="FO131" s="101"/>
      <c r="FP131" s="374"/>
      <c r="FQ131" s="405"/>
      <c r="FR131" s="405"/>
    </row>
    <row r="132" spans="1:174">
      <c r="EL132" s="306" t="s">
        <v>303</v>
      </c>
      <c r="EM132" s="306" t="s">
        <v>582</v>
      </c>
      <c r="EN132" s="306">
        <v>4662.5794999999998</v>
      </c>
      <c r="EO132" s="306">
        <v>1</v>
      </c>
      <c r="EP132" s="308">
        <v>849129</v>
      </c>
      <c r="EQ132" s="308">
        <f t="shared" si="57"/>
        <v>107.17512854542412</v>
      </c>
      <c r="ER132" s="308">
        <f t="shared" si="58"/>
        <v>0.28363188908270809</v>
      </c>
      <c r="ET132" s="420" t="s">
        <v>304</v>
      </c>
      <c r="EU132" s="420" t="s">
        <v>584</v>
      </c>
      <c r="EV132" s="420">
        <v>1500.06</v>
      </c>
      <c r="EW132" s="420">
        <v>0.43611638887745335</v>
      </c>
      <c r="EX132" s="421">
        <v>849130</v>
      </c>
      <c r="EY132" s="423">
        <f t="shared" si="59"/>
        <v>104.12063738187953</v>
      </c>
      <c r="EZ132" s="423">
        <f t="shared" si="60"/>
        <v>0.27554838024385092</v>
      </c>
      <c r="FA132">
        <v>0</v>
      </c>
      <c r="FD132" s="306" t="s">
        <v>304</v>
      </c>
      <c r="FE132" s="306" t="s">
        <v>584</v>
      </c>
      <c r="FF132" s="306">
        <v>1500.06</v>
      </c>
      <c r="FG132" s="306">
        <v>0.43611638887745335</v>
      </c>
      <c r="FH132" s="307">
        <v>849130</v>
      </c>
      <c r="FI132" s="326">
        <f t="shared" si="61"/>
        <v>104.12063738187953</v>
      </c>
      <c r="FJ132" s="326">
        <f t="shared" si="50"/>
        <v>0.27554838024385092</v>
      </c>
      <c r="FL132" s="101"/>
      <c r="FM132" s="101"/>
      <c r="FN132" s="101"/>
      <c r="FO132" s="101"/>
      <c r="FP132" s="374"/>
      <c r="FQ132" s="405"/>
      <c r="FR132" s="405"/>
    </row>
    <row r="133" spans="1:174">
      <c r="EL133" s="306" t="s">
        <v>304</v>
      </c>
      <c r="EM133" s="306" t="s">
        <v>584</v>
      </c>
      <c r="EN133" s="306">
        <v>1500.06</v>
      </c>
      <c r="EO133" s="306">
        <v>0.43611638887745335</v>
      </c>
      <c r="EP133" s="308">
        <v>849130</v>
      </c>
      <c r="EQ133" s="308">
        <f t="shared" si="57"/>
        <v>4.3121688338840292</v>
      </c>
      <c r="ER133" s="308">
        <f t="shared" si="58"/>
        <v>1.1411869610025532E-2</v>
      </c>
      <c r="ET133" s="420" t="s">
        <v>304</v>
      </c>
      <c r="EU133" s="420" t="s">
        <v>393</v>
      </c>
      <c r="EV133" s="420">
        <v>1939.5264</v>
      </c>
      <c r="EW133" s="420">
        <v>0.56388361112254659</v>
      </c>
      <c r="EX133" s="421">
        <v>849131</v>
      </c>
      <c r="EY133" s="423">
        <f t="shared" si="59"/>
        <v>4.1892720221183346</v>
      </c>
      <c r="EZ133" s="423">
        <f t="shared" si="60"/>
        <v>1.1086631326139804E-2</v>
      </c>
      <c r="FA133">
        <v>0</v>
      </c>
      <c r="FD133" s="306" t="s">
        <v>304</v>
      </c>
      <c r="FE133" s="306" t="s">
        <v>393</v>
      </c>
      <c r="FF133" s="306">
        <v>1939.5264</v>
      </c>
      <c r="FG133" s="306">
        <v>0.56388361112254659</v>
      </c>
      <c r="FH133" s="307">
        <v>849131</v>
      </c>
      <c r="FI133" s="326">
        <f t="shared" si="61"/>
        <v>4.1892720221183346</v>
      </c>
      <c r="FJ133" s="326">
        <f t="shared" si="50"/>
        <v>1.1086631326139804E-2</v>
      </c>
      <c r="FL133" s="101"/>
      <c r="FM133" s="101"/>
      <c r="FN133" s="101"/>
      <c r="FO133" s="101"/>
      <c r="FP133" s="374"/>
      <c r="FQ133" s="405"/>
      <c r="FR133" s="405"/>
    </row>
    <row r="134" spans="1:174">
      <c r="EL134" s="306" t="s">
        <v>304</v>
      </c>
      <c r="EM134" s="306" t="s">
        <v>393</v>
      </c>
      <c r="EN134" s="306">
        <v>1939.5264</v>
      </c>
      <c r="EO134" s="306">
        <v>0.56388361112254659</v>
      </c>
      <c r="EP134" s="308">
        <v>849131</v>
      </c>
      <c r="EQ134" s="308">
        <f t="shared" si="57"/>
        <v>5.5754871768964511</v>
      </c>
      <c r="ER134" s="308">
        <f t="shared" si="58"/>
        <v>1.4755158048346217E-2</v>
      </c>
      <c r="ET134" s="420" t="s">
        <v>305</v>
      </c>
      <c r="EU134" s="420" t="s">
        <v>679</v>
      </c>
      <c r="EV134" s="420">
        <v>2026.3647000000001</v>
      </c>
      <c r="EW134" s="420">
        <v>1</v>
      </c>
      <c r="EX134" s="421">
        <v>849132</v>
      </c>
      <c r="EY134" s="423">
        <f t="shared" si="59"/>
        <v>5.4165857923549021</v>
      </c>
      <c r="EZ134" s="423">
        <f t="shared" si="60"/>
        <v>1.4334636043968349E-2</v>
      </c>
      <c r="FA134">
        <v>0</v>
      </c>
      <c r="FD134" s="306" t="s">
        <v>305</v>
      </c>
      <c r="FE134" s="306" t="s">
        <v>679</v>
      </c>
      <c r="FF134" s="306">
        <v>2026.3647000000001</v>
      </c>
      <c r="FG134" s="306">
        <v>1</v>
      </c>
      <c r="FH134" s="307">
        <v>849132</v>
      </c>
      <c r="FI134" s="326">
        <f t="shared" si="61"/>
        <v>5.4165857923549021</v>
      </c>
      <c r="FJ134" s="326">
        <f t="shared" si="50"/>
        <v>1.4334636043968349E-2</v>
      </c>
      <c r="FL134" s="101"/>
      <c r="FM134" s="101"/>
      <c r="FN134" s="101"/>
      <c r="FO134" s="101"/>
      <c r="FP134" s="374"/>
      <c r="FQ134" s="405"/>
      <c r="FR134" s="405"/>
    </row>
    <row r="135" spans="1:174">
      <c r="EL135" s="306" t="s">
        <v>305</v>
      </c>
      <c r="EM135" s="306" t="s">
        <v>679</v>
      </c>
      <c r="EN135" s="306">
        <v>2026.3647000000001</v>
      </c>
      <c r="EO135" s="306">
        <v>1</v>
      </c>
      <c r="EP135" s="308">
        <v>849132</v>
      </c>
      <c r="EQ135" s="308">
        <f t="shared" si="57"/>
        <v>30.54579446187541</v>
      </c>
      <c r="ER135" s="308">
        <f t="shared" si="58"/>
        <v>8.0837424730327012E-2</v>
      </c>
      <c r="ET135" s="420" t="s">
        <v>47</v>
      </c>
      <c r="EU135" s="420" t="s">
        <v>680</v>
      </c>
      <c r="EV135" s="420">
        <v>41993.0622</v>
      </c>
      <c r="EW135" s="420">
        <v>0.3967757985704885</v>
      </c>
      <c r="EX135" s="421">
        <v>849133</v>
      </c>
      <c r="EY135" s="423">
        <f t="shared" si="59"/>
        <v>29.675239319711963</v>
      </c>
      <c r="EZ135" s="423">
        <f t="shared" si="60"/>
        <v>7.8533558125512701E-2</v>
      </c>
      <c r="FA135">
        <v>0</v>
      </c>
      <c r="FD135" s="306" t="s">
        <v>47</v>
      </c>
      <c r="FE135" s="306" t="s">
        <v>680</v>
      </c>
      <c r="FF135" s="306">
        <v>41993.0622</v>
      </c>
      <c r="FG135" s="306">
        <v>0.3967757985704885</v>
      </c>
      <c r="FH135" s="307">
        <v>849133</v>
      </c>
      <c r="FI135" s="326">
        <f t="shared" si="61"/>
        <v>29.675239319711963</v>
      </c>
      <c r="FJ135" s="326">
        <f t="shared" si="50"/>
        <v>7.8533558125512701E-2</v>
      </c>
      <c r="FL135" s="101"/>
      <c r="FM135" s="101"/>
      <c r="FN135" s="101"/>
      <c r="FO135" s="101"/>
      <c r="FP135" s="374"/>
      <c r="FQ135" s="405"/>
      <c r="FR135" s="405"/>
    </row>
    <row r="136" spans="1:174">
      <c r="EL136" s="306" t="s">
        <v>47</v>
      </c>
      <c r="EM136" s="306" t="s">
        <v>680</v>
      </c>
      <c r="EN136" s="306">
        <v>41993.0622</v>
      </c>
      <c r="EO136" s="306">
        <v>0.3967757985704885</v>
      </c>
      <c r="EP136" s="308">
        <v>849133</v>
      </c>
      <c r="EQ136" s="308">
        <f t="shared" si="57"/>
        <v>1050.0818595769535</v>
      </c>
      <c r="ER136" s="308">
        <f t="shared" si="58"/>
        <v>2.7789721884687264</v>
      </c>
      <c r="ET136" s="420" t="s">
        <v>47</v>
      </c>
      <c r="EU136" s="420" t="s">
        <v>398</v>
      </c>
      <c r="EV136" s="420">
        <v>63842.682699999998</v>
      </c>
      <c r="EW136" s="420">
        <v>0.60322420142951161</v>
      </c>
      <c r="EX136" s="421">
        <v>849134</v>
      </c>
      <c r="EY136" s="423">
        <f t="shared" si="59"/>
        <v>1020.1545265790104</v>
      </c>
      <c r="EZ136" s="423">
        <f t="shared" si="60"/>
        <v>2.6997714810973679</v>
      </c>
      <c r="FA136">
        <v>0</v>
      </c>
      <c r="FD136" s="306" t="s">
        <v>47</v>
      </c>
      <c r="FE136" s="306" t="s">
        <v>398</v>
      </c>
      <c r="FF136" s="306">
        <v>63842.682699999998</v>
      </c>
      <c r="FG136" s="306">
        <v>0.60322420142951161</v>
      </c>
      <c r="FH136" s="307">
        <v>849134</v>
      </c>
      <c r="FI136" s="326">
        <f t="shared" si="61"/>
        <v>1020.1545265790104</v>
      </c>
      <c r="FJ136" s="326">
        <f t="shared" si="50"/>
        <v>2.6997714810973679</v>
      </c>
      <c r="FL136" s="101"/>
      <c r="FM136" s="101"/>
      <c r="FN136" s="101"/>
      <c r="FO136" s="101"/>
      <c r="FP136" s="374"/>
      <c r="FQ136" s="405"/>
      <c r="FR136" s="405"/>
    </row>
    <row r="137" spans="1:174">
      <c r="EL137" s="306" t="s">
        <v>47</v>
      </c>
      <c r="EM137" s="306" t="s">
        <v>398</v>
      </c>
      <c r="EN137" s="306">
        <v>63842.682699999998</v>
      </c>
      <c r="EO137" s="306">
        <v>0.60322420142951161</v>
      </c>
      <c r="EP137" s="308">
        <v>849134</v>
      </c>
      <c r="EQ137" s="308">
        <f t="shared" si="57"/>
        <v>1596.4552108799867</v>
      </c>
      <c r="ER137" s="308">
        <f t="shared" si="58"/>
        <v>4.2249131253051004</v>
      </c>
      <c r="EY137" s="431">
        <f>EY138-VLOOKUP($EV$138,장항공공주택지구_통행량제외분!$J$12:$P$18,2,FALSE)</f>
        <v>9167.688830849751</v>
      </c>
      <c r="EZ137" s="431">
        <f>EZ138-VLOOKUP($EV$138,장항공공주택지구_통행량제외분!$J$12:$P$18,4,FALSE)</f>
        <v>15.489199192976155</v>
      </c>
      <c r="FH137" s="277"/>
      <c r="FI137" s="310">
        <f t="shared" ref="FI137:FJ137" si="62">SUM(FI103:FI136)</f>
        <v>14922.746848101171</v>
      </c>
      <c r="FJ137" s="310">
        <f t="shared" si="62"/>
        <v>39.492062536095503</v>
      </c>
      <c r="FP137" s="277"/>
      <c r="FQ137" s="310"/>
      <c r="FR137" s="310"/>
    </row>
    <row r="138" spans="1:174">
      <c r="EQ138" s="310">
        <f>SUM(EQ103:EQ137)</f>
        <v>16956.976927916705</v>
      </c>
      <c r="ER138" s="310">
        <f>SUM(ER103:ER137)</f>
        <v>44.875517897405466</v>
      </c>
      <c r="EV138" s="432">
        <f>기준년도설정!B1</f>
        <v>2045</v>
      </c>
      <c r="EY138" s="310">
        <f>SUM(EY103:EY136)</f>
        <v>14922.746848101171</v>
      </c>
      <c r="EZ138" s="310">
        <f>SUM(EZ103:EZ136)</f>
        <v>39.492062536095503</v>
      </c>
      <c r="FH138" s="277"/>
    </row>
    <row r="139" spans="1:174">
      <c r="FA139" s="277"/>
    </row>
    <row r="140" spans="1:174">
      <c r="FA140" s="277"/>
    </row>
    <row r="141" spans="1:174">
      <c r="FA141" s="277"/>
    </row>
    <row r="142" spans="1:174" s="227" customFormat="1" ht="19.5">
      <c r="A142" s="329">
        <v>2025</v>
      </c>
      <c r="B142" s="282"/>
      <c r="C142" s="283"/>
      <c r="D142" s="284"/>
      <c r="E142" s="284"/>
      <c r="F142" s="284"/>
      <c r="G142" s="284"/>
      <c r="H142" s="284"/>
      <c r="I142" s="284"/>
      <c r="K142" s="282"/>
      <c r="L142" s="282"/>
      <c r="M142" s="283"/>
      <c r="N142" s="284"/>
      <c r="O142" s="284"/>
      <c r="P142" s="284"/>
      <c r="Q142" s="284"/>
      <c r="R142" s="284"/>
      <c r="S142" s="284"/>
    </row>
    <row r="143" spans="1:174" ht="23.5" thickBot="1">
      <c r="A143" s="32" t="s">
        <v>641</v>
      </c>
      <c r="C143" t="s">
        <v>463</v>
      </c>
      <c r="D143" t="s">
        <v>467</v>
      </c>
      <c r="E143" t="s">
        <v>470</v>
      </c>
      <c r="F143" t="s">
        <v>465</v>
      </c>
      <c r="G143" t="s">
        <v>466</v>
      </c>
      <c r="H143" t="s">
        <v>21</v>
      </c>
      <c r="K143" s="32" t="s">
        <v>471</v>
      </c>
      <c r="CV143" s="32" t="s">
        <v>492</v>
      </c>
      <c r="CY143" t="s">
        <v>478</v>
      </c>
      <c r="CZ143" t="s">
        <v>479</v>
      </c>
      <c r="ET143" s="353" t="s">
        <v>862</v>
      </c>
      <c r="FL143" s="353"/>
    </row>
    <row r="144" spans="1:174">
      <c r="A144" t="s">
        <v>462</v>
      </c>
      <c r="C144" t="s">
        <v>427</v>
      </c>
      <c r="D144" t="s">
        <v>428</v>
      </c>
      <c r="E144" t="s">
        <v>429</v>
      </c>
      <c r="F144" t="s">
        <v>430</v>
      </c>
      <c r="G144" t="s">
        <v>431</v>
      </c>
      <c r="H144" t="s">
        <v>457</v>
      </c>
      <c r="K144" s="159" t="s">
        <v>482</v>
      </c>
      <c r="L144" s="159"/>
      <c r="M144" s="443" t="s">
        <v>463</v>
      </c>
      <c r="N144" s="444"/>
      <c r="O144" s="444"/>
      <c r="P144" s="444"/>
      <c r="Q144" s="444"/>
      <c r="R144" s="444"/>
      <c r="S144" s="444"/>
      <c r="T144" s="444"/>
      <c r="U144" s="444"/>
      <c r="V144" s="444"/>
      <c r="W144" s="444"/>
      <c r="X144" s="444"/>
      <c r="Y144" s="444"/>
      <c r="Z144" s="445"/>
      <c r="AA144" s="443" t="s">
        <v>467</v>
      </c>
      <c r="AB144" s="444"/>
      <c r="AC144" s="444"/>
      <c r="AD144" s="444"/>
      <c r="AE144" s="444"/>
      <c r="AF144" s="444"/>
      <c r="AG144" s="444"/>
      <c r="AH144" s="444"/>
      <c r="AI144" s="444"/>
      <c r="AJ144" s="444"/>
      <c r="AK144" s="444"/>
      <c r="AL144" s="444"/>
      <c r="AM144" s="444"/>
      <c r="AN144" s="445"/>
      <c r="AO144" s="443" t="s">
        <v>464</v>
      </c>
      <c r="AP144" s="444"/>
      <c r="AQ144" s="444"/>
      <c r="AR144" s="444"/>
      <c r="AS144" s="444"/>
      <c r="AT144" s="444"/>
      <c r="AU144" s="444"/>
      <c r="AV144" s="444"/>
      <c r="AW144" s="444"/>
      <c r="AX144" s="444"/>
      <c r="AY144" s="444"/>
      <c r="AZ144" s="444"/>
      <c r="BA144" s="444"/>
      <c r="BB144" s="445"/>
      <c r="BC144" s="443" t="s">
        <v>465</v>
      </c>
      <c r="BD144" s="444"/>
      <c r="BE144" s="444"/>
      <c r="BF144" s="444"/>
      <c r="BG144" s="444"/>
      <c r="BH144" s="444"/>
      <c r="BI144" s="444"/>
      <c r="BJ144" s="444"/>
      <c r="BK144" s="444"/>
      <c r="BL144" s="444"/>
      <c r="BM144" s="444"/>
      <c r="BN144" s="444"/>
      <c r="BO144" s="444"/>
      <c r="BP144" s="445"/>
      <c r="BQ144" s="443" t="s">
        <v>466</v>
      </c>
      <c r="BR144" s="444"/>
      <c r="BS144" s="444"/>
      <c r="BT144" s="444"/>
      <c r="BU144" s="444"/>
      <c r="BV144" s="444"/>
      <c r="BW144" s="444"/>
      <c r="BX144" s="444"/>
      <c r="BY144" s="444"/>
      <c r="BZ144" s="444"/>
      <c r="CA144" s="444"/>
      <c r="CB144" s="444"/>
      <c r="CC144" s="444"/>
      <c r="CD144" s="445"/>
      <c r="CE144" s="443" t="s">
        <v>21</v>
      </c>
      <c r="CF144" s="444"/>
      <c r="CG144" s="444"/>
      <c r="CH144" s="444"/>
      <c r="CI144" s="444"/>
      <c r="CJ144" s="444"/>
      <c r="CK144" s="444"/>
      <c r="CL144" s="444"/>
      <c r="CM144" s="444"/>
      <c r="CN144" s="444"/>
      <c r="CO144" s="444"/>
      <c r="CP144" s="444"/>
      <c r="CQ144" s="444"/>
      <c r="CR144" s="445"/>
      <c r="CV144" s="263" t="s">
        <v>482</v>
      </c>
      <c r="CW144" s="263"/>
      <c r="CX144" s="446" t="s">
        <v>554</v>
      </c>
      <c r="CY144" s="439"/>
      <c r="CZ144" s="439"/>
      <c r="DA144" s="440"/>
      <c r="DB144" s="438" t="s">
        <v>553</v>
      </c>
      <c r="DC144" s="439"/>
      <c r="DD144" s="439"/>
      <c r="DE144" s="440"/>
      <c r="DF144" s="438" t="s">
        <v>464</v>
      </c>
      <c r="DG144" s="439"/>
      <c r="DH144" s="439"/>
      <c r="DI144" s="440"/>
      <c r="DJ144" s="438" t="s">
        <v>465</v>
      </c>
      <c r="DK144" s="439"/>
      <c r="DL144" s="439"/>
      <c r="DM144" s="440"/>
      <c r="DN144" s="438" t="s">
        <v>466</v>
      </c>
      <c r="DO144" s="439"/>
      <c r="DP144" s="439"/>
      <c r="DQ144" s="440"/>
      <c r="DR144" s="438" t="s">
        <v>21</v>
      </c>
      <c r="DS144" s="439"/>
      <c r="DT144" s="439"/>
      <c r="DU144" s="441"/>
      <c r="DW144" s="278"/>
      <c r="DX144" s="278"/>
      <c r="DY144" s="442" t="s">
        <v>588</v>
      </c>
      <c r="DZ144" s="442"/>
      <c r="EB144" s="278"/>
      <c r="EC144" s="278"/>
      <c r="ED144" s="442" t="s">
        <v>588</v>
      </c>
      <c r="EE144" s="442"/>
      <c r="EI144" t="s">
        <v>599</v>
      </c>
    </row>
    <row r="145" spans="1:174">
      <c r="A145" s="199"/>
      <c r="B145" s="199"/>
      <c r="C145" s="202" t="s">
        <v>463</v>
      </c>
      <c r="D145" s="202" t="s">
        <v>467</v>
      </c>
      <c r="E145" s="202" t="s">
        <v>464</v>
      </c>
      <c r="F145" s="202" t="s">
        <v>465</v>
      </c>
      <c r="G145" s="202" t="s">
        <v>678</v>
      </c>
      <c r="H145" s="202" t="s">
        <v>21</v>
      </c>
      <c r="K145" s="159"/>
      <c r="L145" s="159"/>
      <c r="M145" s="211" t="s">
        <v>472</v>
      </c>
      <c r="N145" s="160" t="s">
        <v>156</v>
      </c>
      <c r="O145" s="160" t="s">
        <v>475</v>
      </c>
      <c r="P145" s="160" t="s">
        <v>476</v>
      </c>
      <c r="Q145" s="160" t="s">
        <v>477</v>
      </c>
      <c r="R145" s="160" t="s">
        <v>478</v>
      </c>
      <c r="S145" s="160" t="s">
        <v>479</v>
      </c>
      <c r="T145" s="160" t="s">
        <v>480</v>
      </c>
      <c r="U145" s="160" t="s">
        <v>449</v>
      </c>
      <c r="V145" s="160" t="s">
        <v>157</v>
      </c>
      <c r="W145" s="160" t="s">
        <v>473</v>
      </c>
      <c r="X145" s="160" t="s">
        <v>474</v>
      </c>
      <c r="Y145" s="160" t="s">
        <v>46</v>
      </c>
      <c r="Z145" s="212" t="s">
        <v>11</v>
      </c>
      <c r="AA145" s="211" t="s">
        <v>472</v>
      </c>
      <c r="AB145" s="160" t="s">
        <v>156</v>
      </c>
      <c r="AC145" s="160" t="s">
        <v>475</v>
      </c>
      <c r="AD145" s="160" t="s">
        <v>476</v>
      </c>
      <c r="AE145" s="160" t="s">
        <v>477</v>
      </c>
      <c r="AF145" s="160" t="s">
        <v>478</v>
      </c>
      <c r="AG145" s="160" t="s">
        <v>479</v>
      </c>
      <c r="AH145" s="160" t="s">
        <v>480</v>
      </c>
      <c r="AI145" s="160" t="s">
        <v>449</v>
      </c>
      <c r="AJ145" s="160" t="s">
        <v>157</v>
      </c>
      <c r="AK145" s="160" t="s">
        <v>473</v>
      </c>
      <c r="AL145" s="160" t="s">
        <v>474</v>
      </c>
      <c r="AM145" s="160" t="s">
        <v>46</v>
      </c>
      <c r="AN145" s="212" t="s">
        <v>11</v>
      </c>
      <c r="AO145" s="211" t="s">
        <v>472</v>
      </c>
      <c r="AP145" s="160" t="s">
        <v>156</v>
      </c>
      <c r="AQ145" s="160" t="s">
        <v>475</v>
      </c>
      <c r="AR145" s="160" t="s">
        <v>476</v>
      </c>
      <c r="AS145" s="160" t="s">
        <v>477</v>
      </c>
      <c r="AT145" s="160" t="s">
        <v>478</v>
      </c>
      <c r="AU145" s="160" t="s">
        <v>479</v>
      </c>
      <c r="AV145" s="160" t="s">
        <v>480</v>
      </c>
      <c r="AW145" s="160" t="s">
        <v>449</v>
      </c>
      <c r="AX145" s="160" t="s">
        <v>157</v>
      </c>
      <c r="AY145" s="160" t="s">
        <v>473</v>
      </c>
      <c r="AZ145" s="160" t="s">
        <v>474</v>
      </c>
      <c r="BA145" s="160" t="s">
        <v>46</v>
      </c>
      <c r="BB145" s="212" t="s">
        <v>11</v>
      </c>
      <c r="BC145" s="211" t="s">
        <v>472</v>
      </c>
      <c r="BD145" s="160" t="s">
        <v>156</v>
      </c>
      <c r="BE145" s="160" t="s">
        <v>475</v>
      </c>
      <c r="BF145" s="160" t="s">
        <v>476</v>
      </c>
      <c r="BG145" s="160" t="s">
        <v>477</v>
      </c>
      <c r="BH145" s="160" t="s">
        <v>478</v>
      </c>
      <c r="BI145" s="160" t="s">
        <v>479</v>
      </c>
      <c r="BJ145" s="160" t="s">
        <v>480</v>
      </c>
      <c r="BK145" s="160" t="s">
        <v>449</v>
      </c>
      <c r="BL145" s="160" t="s">
        <v>157</v>
      </c>
      <c r="BM145" s="160" t="s">
        <v>473</v>
      </c>
      <c r="BN145" s="160" t="s">
        <v>474</v>
      </c>
      <c r="BO145" s="160" t="s">
        <v>46</v>
      </c>
      <c r="BP145" s="212" t="s">
        <v>11</v>
      </c>
      <c r="BQ145" s="211" t="s">
        <v>472</v>
      </c>
      <c r="BR145" s="160" t="s">
        <v>156</v>
      </c>
      <c r="BS145" s="160" t="s">
        <v>475</v>
      </c>
      <c r="BT145" s="160" t="s">
        <v>476</v>
      </c>
      <c r="BU145" s="160" t="s">
        <v>477</v>
      </c>
      <c r="BV145" s="160" t="s">
        <v>478</v>
      </c>
      <c r="BW145" s="160" t="s">
        <v>479</v>
      </c>
      <c r="BX145" s="160" t="s">
        <v>480</v>
      </c>
      <c r="BY145" s="160" t="s">
        <v>449</v>
      </c>
      <c r="BZ145" s="160" t="s">
        <v>157</v>
      </c>
      <c r="CA145" s="160" t="s">
        <v>473</v>
      </c>
      <c r="CB145" s="160" t="s">
        <v>474</v>
      </c>
      <c r="CC145" s="160" t="s">
        <v>46</v>
      </c>
      <c r="CD145" s="212" t="s">
        <v>11</v>
      </c>
      <c r="CE145" s="211" t="s">
        <v>472</v>
      </c>
      <c r="CF145" s="160" t="s">
        <v>156</v>
      </c>
      <c r="CG145" s="160" t="s">
        <v>475</v>
      </c>
      <c r="CH145" s="160" t="s">
        <v>476</v>
      </c>
      <c r="CI145" s="160" t="s">
        <v>477</v>
      </c>
      <c r="CJ145" s="160" t="s">
        <v>478</v>
      </c>
      <c r="CK145" s="160" t="s">
        <v>479</v>
      </c>
      <c r="CL145" s="160" t="s">
        <v>480</v>
      </c>
      <c r="CM145" s="160" t="s">
        <v>449</v>
      </c>
      <c r="CN145" s="160" t="s">
        <v>157</v>
      </c>
      <c r="CO145" s="160" t="s">
        <v>473</v>
      </c>
      <c r="CP145" s="160" t="s">
        <v>474</v>
      </c>
      <c r="CQ145" s="160" t="s">
        <v>46</v>
      </c>
      <c r="CR145" s="212" t="s">
        <v>11</v>
      </c>
      <c r="CV145" s="263"/>
      <c r="CW145" s="263"/>
      <c r="CX145" s="264" t="s">
        <v>156</v>
      </c>
      <c r="CY145" s="264" t="s">
        <v>478</v>
      </c>
      <c r="CZ145" s="264" t="s">
        <v>479</v>
      </c>
      <c r="DA145" s="264" t="s">
        <v>157</v>
      </c>
      <c r="DB145" s="264" t="s">
        <v>156</v>
      </c>
      <c r="DC145" s="264" t="s">
        <v>478</v>
      </c>
      <c r="DD145" s="264" t="s">
        <v>479</v>
      </c>
      <c r="DE145" s="264" t="s">
        <v>157</v>
      </c>
      <c r="DF145" s="264" t="s">
        <v>156</v>
      </c>
      <c r="DG145" s="264" t="s">
        <v>478</v>
      </c>
      <c r="DH145" s="264" t="s">
        <v>479</v>
      </c>
      <c r="DI145" s="264" t="s">
        <v>157</v>
      </c>
      <c r="DJ145" s="264" t="s">
        <v>156</v>
      </c>
      <c r="DK145" s="264" t="s">
        <v>478</v>
      </c>
      <c r="DL145" s="264" t="s">
        <v>479</v>
      </c>
      <c r="DM145" s="264" t="s">
        <v>157</v>
      </c>
      <c r="DN145" s="264" t="s">
        <v>156</v>
      </c>
      <c r="DO145" s="264" t="s">
        <v>478</v>
      </c>
      <c r="DP145" s="264" t="s">
        <v>479</v>
      </c>
      <c r="DQ145" s="264" t="s">
        <v>157</v>
      </c>
      <c r="DR145" s="264" t="s">
        <v>156</v>
      </c>
      <c r="DS145" s="264" t="s">
        <v>478</v>
      </c>
      <c r="DT145" s="264" t="s">
        <v>479</v>
      </c>
      <c r="DU145" s="264" t="s">
        <v>157</v>
      </c>
      <c r="DW145" s="278"/>
      <c r="DX145" s="278"/>
      <c r="DY145" s="280" t="s">
        <v>585</v>
      </c>
      <c r="DZ145" s="280" t="s">
        <v>259</v>
      </c>
      <c r="EB145" s="278"/>
      <c r="EC145" s="278"/>
      <c r="ED145" s="280" t="s">
        <v>585</v>
      </c>
      <c r="EE145" s="280" t="s">
        <v>259</v>
      </c>
      <c r="EL145" s="306" t="s">
        <v>564</v>
      </c>
      <c r="EM145" s="306" t="s">
        <v>565</v>
      </c>
      <c r="EN145" s="306" t="s">
        <v>566</v>
      </c>
      <c r="EO145" s="306" t="s">
        <v>562</v>
      </c>
      <c r="EP145" s="307" t="s">
        <v>597</v>
      </c>
      <c r="EQ145" s="307" t="s">
        <v>585</v>
      </c>
      <c r="ER145" s="307" t="s">
        <v>259</v>
      </c>
      <c r="ET145" s="420" t="s">
        <v>564</v>
      </c>
      <c r="EU145" s="420" t="s">
        <v>565</v>
      </c>
      <c r="EV145" s="420" t="s">
        <v>566</v>
      </c>
      <c r="EW145" s="420" t="s">
        <v>562</v>
      </c>
      <c r="EX145" s="421" t="s">
        <v>597</v>
      </c>
      <c r="EY145" s="421" t="s">
        <v>585</v>
      </c>
      <c r="EZ145" s="421" t="s">
        <v>259</v>
      </c>
      <c r="FA145" s="424" t="s">
        <v>865</v>
      </c>
      <c r="FD145" s="306" t="s">
        <v>564</v>
      </c>
      <c r="FE145" s="306" t="s">
        <v>565</v>
      </c>
      <c r="FF145" s="306" t="s">
        <v>566</v>
      </c>
      <c r="FG145" s="306" t="s">
        <v>562</v>
      </c>
      <c r="FH145" s="307" t="s">
        <v>597</v>
      </c>
      <c r="FI145" s="307" t="s">
        <v>585</v>
      </c>
      <c r="FJ145" s="307" t="s">
        <v>259</v>
      </c>
      <c r="FL145" s="101"/>
      <c r="FM145" s="101"/>
      <c r="FN145" s="101"/>
      <c r="FO145" s="101"/>
      <c r="FP145" s="374"/>
      <c r="FQ145" s="374"/>
      <c r="FR145" s="374"/>
    </row>
    <row r="146" spans="1:174">
      <c r="A146" s="205"/>
      <c r="B146" s="205" t="s">
        <v>12</v>
      </c>
      <c r="C146" s="400">
        <f>$AB61*KTDB_TripDistribution_2045!T$12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59.383904892330953</v>
      </c>
      <c r="D146" s="400">
        <f>$AB61*KTDB_TripDistribution_2045!U$12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429.77346856614389</v>
      </c>
      <c r="E146" s="400">
        <f>$AB61*KTDB_TripDistribution_2045!V$12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24.655040112975126</v>
      </c>
      <c r="F146" s="400">
        <f>$AB61*KTDB_TripDistribution_2045!W$12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3.8745479486079364E-2</v>
      </c>
      <c r="G146" s="400">
        <f>$AB61*KTDB_TripDistribution_2045!X$12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0.14637181139185523</v>
      </c>
      <c r="H146" s="400">
        <f>$AB61*KTDB_TripDistribution_2045!Y$12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513.99753086232795</v>
      </c>
      <c r="J146" s="230">
        <f t="shared" ref="J146:J150" si="63">CR146</f>
        <v>513.99753086232795</v>
      </c>
      <c r="K146" s="206"/>
      <c r="L146" s="206" t="s">
        <v>12</v>
      </c>
      <c r="M146" s="206">
        <f>INDEX($A$145:$H$158,MATCH($L146,$B$145:$B$158,0),MATCH($M$144,$A$145:$H$145,0))*고양시_Modal_split!C$3 * 0.01</f>
        <v>0.16627493369852667</v>
      </c>
      <c r="N146" s="206">
        <f>INDEX($A$145:$H$158,MATCH($L146,$B$145:$B$158,0),MATCH($M$144,$A$145:$H$145,0))*고양시_Modal_split!D$3 * 0.01</f>
        <v>27.928250470863251</v>
      </c>
      <c r="O146" s="206">
        <f>INDEX($A$145:$H$158,MATCH($L146,$B$145:$B$158,0),MATCH($M$144,$A$145:$H$145,0))*고양시_Modal_split!E$3 * 0.01</f>
        <v>3.3789441883736311</v>
      </c>
      <c r="P146" s="206">
        <f>INDEX($A$145:$H$158,MATCH($L146,$B$145:$B$158,0),MATCH($M$144,$A$145:$H$145,0))*고양시_Modal_split!F$3 * 0.01</f>
        <v>5.4455040786267492</v>
      </c>
      <c r="Q146" s="206">
        <f>INDEX($A$145:$H$158,MATCH($L146,$B$145:$B$158,0),MATCH($M$144,$A$145:$H$145,0))*고양시_Modal_split!G$3 * 0.01</f>
        <v>0.54633192500944472</v>
      </c>
      <c r="R146" s="206">
        <f>INDEX($A$145:$H$158,MATCH($L146,$B$145:$B$158,0),MATCH($M$144,$A$145:$H$145,0))*고양시_Modal_split!H$3 * 0.01</f>
        <v>5.938390489233095E-3</v>
      </c>
      <c r="S146" s="206">
        <f>INDEX($A$145:$H$158,MATCH($L146,$B$145:$B$158,0),MATCH($M$144,$A$145:$H$145,0))*고양시_Modal_split!I$3 * 0.01</f>
        <v>1.6508725560068005</v>
      </c>
      <c r="T146" s="206">
        <f>INDEX($A$145:$H$158,MATCH($L146,$B$145:$B$158,0),MATCH($M$144,$A$145:$H$145,0))*고양시_Modal_split!J$3 * 0.01</f>
        <v>18.076460649225545</v>
      </c>
      <c r="U146" s="206">
        <f>INDEX($A$145:$H$158,MATCH($L146,$B$145:$B$158,0),MATCH($M$144,$A$145:$H$145,0))*고양시_Modal_split!K$3 * 0.01</f>
        <v>8.9075857338496434E-2</v>
      </c>
      <c r="V146" s="206">
        <f>INDEX($A$145:$H$158,MATCH($L146,$B$145:$B$158,0),MATCH($M$144,$A$145:$H$145,0))*고양시_Modal_split!L$3 * 0.01</f>
        <v>1.7933939277483948</v>
      </c>
      <c r="W146" s="206">
        <f>INDEX($A$145:$H$158,MATCH($L146,$B$145:$B$158,0),MATCH($M$144,$A$145:$H$145,0))*고양시_Modal_split!M$3 * 0.01</f>
        <v>0.13658298125236118</v>
      </c>
      <c r="X146" s="206">
        <f>INDEX($A$145:$H$158,MATCH($L146,$B$145:$B$158,0),MATCH($M$144,$A$145:$H$145,0))*고양시_Modal_split!N$3 * 0.01</f>
        <v>5.938390489233096E-2</v>
      </c>
      <c r="Y146" s="206">
        <f>INDEX($A$145:$H$158,MATCH($L146,$B$145:$B$158,0),MATCH($M$144,$A$145:$H$145,0))*고양시_Modal_split!O$3 * 0.01</f>
        <v>0.10689102880619572</v>
      </c>
      <c r="Z146" s="209">
        <f>INDEX($A$145:$H$158,MATCH($L146,$B$145:$B$158,0),MATCH($M$144,$A$145:$H$145,0))*고양시_Modal_split!P$3 * 0.01</f>
        <v>59.38390489233096</v>
      </c>
      <c r="AA146" s="207">
        <f>INDEX($A$145:$H$158,MATCH($L146,$B$145:$B$158,0),MATCH($AA$144,$A$145:$H$145,0))*고양시_Modal_split!C$3 * 0.01</f>
        <v>1.2033657119852028</v>
      </c>
      <c r="AB146" s="207">
        <f>INDEX($A$145:$H$158,MATCH($L146,$B$145:$B$158,0),MATCH($AA$144,$A$145:$H$145,0))*고양시_Modal_split!D$3 * 0.01</f>
        <v>202.12246226665749</v>
      </c>
      <c r="AC146" s="207">
        <f>INDEX($A$145:$H$158,MATCH($L146,$B$145:$B$158,0),MATCH($AA$144,$A$145:$H$145,0))*고양시_Modal_split!E$3 * 0.01</f>
        <v>24.454110361413587</v>
      </c>
      <c r="AD146" s="207">
        <f>INDEX($A$145:$H$158,MATCH($L146,$B$145:$B$158,0),MATCH($AA$144,$A$145:$H$145,0))*고양시_Modal_split!F$3 * 0.01</f>
        <v>39.410227067515393</v>
      </c>
      <c r="AE146" s="207">
        <f>INDEX($A$145:$H$158,MATCH($L146,$B$145:$B$158,0),MATCH($AA$144,$A$145:$H$145,0))*고양시_Modal_split!G$3 * 0.01</f>
        <v>3.9539159108085231</v>
      </c>
      <c r="AF146" s="207">
        <f>INDEX($A$145:$H$158,MATCH($L146,$B$145:$B$158,0),MATCH($AA$144,$A$145:$H$145,0))*고양시_Modal_split!H$3 * 0.01</f>
        <v>4.297734685661439E-2</v>
      </c>
      <c r="AG146" s="207">
        <f>INDEX($A$145:$H$158,MATCH($L146,$B$145:$B$158,0),MATCH($AA$144,$A$145:$H$145,0))*고양시_Modal_split!I$3 * 0.01</f>
        <v>11.947702426138799</v>
      </c>
      <c r="AH146" s="207">
        <f>INDEX($A$145:$H$158,MATCH($L146,$B$145:$B$158,0),MATCH($AA$144,$A$145:$H$145,0))*고양시_Modal_split!J$3 * 0.01</f>
        <v>130.82304383153422</v>
      </c>
      <c r="AI146" s="207">
        <f>INDEX($A$145:$H$158,MATCH($L146,$B$145:$B$158,0),MATCH($AA$144,$A$145:$H$145,0))*고양시_Modal_split!K$3 * 0.01</f>
        <v>0.64466020284921588</v>
      </c>
      <c r="AJ146" s="207">
        <f>INDEX($A$145:$H$158,MATCH($L146,$B$145:$B$158,0),MATCH($AA$144,$A$145:$H$145,0))*고양시_Modal_split!L$3 * 0.01</f>
        <v>12.979158750697545</v>
      </c>
      <c r="AK146" s="207">
        <f>INDEX($A$145:$H$158,MATCH($L146,$B$145:$B$158,0),MATCH($AA$144,$A$145:$H$145,0))*고양시_Modal_split!M$3 * 0.01</f>
        <v>0.98847897770213078</v>
      </c>
      <c r="AL146" s="207">
        <f>INDEX($A$145:$H$158,MATCH($L146,$B$145:$B$158,0),MATCH($AA$144,$A$145:$H$145,0))*고양시_Modal_split!N$3 * 0.01</f>
        <v>0.4297734685661439</v>
      </c>
      <c r="AM146" s="207">
        <f>INDEX($A$145:$H$158,MATCH($L146,$B$145:$B$158,0),MATCH($AA$144,$A$145:$H$145,0))*고양시_Modal_split!O$3 * 0.01</f>
        <v>0.77359224341905897</v>
      </c>
      <c r="AN146" s="207">
        <f>INDEX($A$145:$H$158,MATCH($L146,$B$145:$B$158,0),MATCH($AA$144,$A$145:$H$145,0))*고양시_Modal_split!P$3 * 0.01</f>
        <v>429.77346856614389</v>
      </c>
      <c r="AO146" s="303">
        <f>INDEX($A$145:$H$158,MATCH($L146,$B$145:$B$158,0),MATCH($AO$144,$A$145:$H$145,0))*고양시_Modal_split!C$3 * 0.01</f>
        <v>6.9034112316330346E-2</v>
      </c>
      <c r="AP146" s="303">
        <f>INDEX($A$145:$H$158,MATCH($L146,$B$145:$B$158,0),MATCH($AO$144,$A$145:$H$145,0))*고양시_Modal_split!D$3 * 0.01</f>
        <v>11.595265365132203</v>
      </c>
      <c r="AQ146" s="303">
        <f>INDEX($A$145:$H$158,MATCH($L146,$B$145:$B$158,0),MATCH($AO$144,$A$145:$H$145,0))*고양시_Modal_split!E$3 * 0.01</f>
        <v>1.4028717824282846</v>
      </c>
      <c r="AR146" s="303">
        <f>INDEX($A$145:$H$158,MATCH($L146,$B$145:$B$158,0),MATCH($AO$144,$A$145:$H$145,0))*고양시_Modal_split!F$3 * 0.01</f>
        <v>2.2608671783598191</v>
      </c>
      <c r="AS146" s="303">
        <f>INDEX($A$145:$H$158,MATCH($L146,$B$145:$B$158,0),MATCH($AO$144,$A$145:$H$145,0))*고양시_Modal_split!G$3 * 0.01</f>
        <v>0.22682636903937112</v>
      </c>
      <c r="AT146" s="303">
        <f>INDEX($A$145:$H$158,MATCH($L146,$B$145:$B$158,0),MATCH($AO$144,$A$145:$H$145,0))*고양시_Modal_split!H$3 * 0.01</f>
        <v>2.4655040112975127E-3</v>
      </c>
      <c r="AU146" s="303">
        <f>INDEX($A$145:$H$158,MATCH($L146,$B$145:$B$158,0),MATCH($AO$144,$A$145:$H$145,0))*고양시_Modal_split!I$3 * 0.01</f>
        <v>0.68541011514070849</v>
      </c>
      <c r="AV146" s="303">
        <f>INDEX($A$145:$H$158,MATCH($L146,$B$145:$B$158,0),MATCH($AO$144,$A$145:$H$145,0))*고양시_Modal_split!J$3 * 0.01</f>
        <v>7.5049942103896283</v>
      </c>
      <c r="AW146" s="303">
        <f>INDEX($A$145:$H$158,MATCH($L146,$B$145:$B$158,0),MATCH($AO$144,$A$145:$H$145,0))*고양시_Modal_split!K$3 * 0.01</f>
        <v>3.6982560169462685E-2</v>
      </c>
      <c r="AX146" s="303">
        <f>INDEX($A$145:$H$158,MATCH($L146,$B$145:$B$158,0),MATCH($AO$144,$A$145:$H$145,0))*고양시_Modal_split!L$3 * 0.01</f>
        <v>0.74458221141184877</v>
      </c>
      <c r="AY146" s="303">
        <f>INDEX($A$145:$H$158,MATCH($L146,$B$145:$B$158,0),MATCH($AO$144,$A$145:$H$145,0))*고양시_Modal_split!M$3 * 0.01</f>
        <v>5.6706592259842779E-2</v>
      </c>
      <c r="AZ146" s="303">
        <f>INDEX($A$145:$H$158,MATCH($L146,$B$145:$B$158,0),MATCH($AO$144,$A$145:$H$145,0))*고양시_Modal_split!N$3 * 0.01</f>
        <v>2.4655040112975129E-2</v>
      </c>
      <c r="BA146" s="207">
        <f>INDEX($A$145:$H$158,MATCH($L146,$B$145:$B$158,0),MATCH($AO$144,$A$145:$H$145,0))*고양시_Modal_split!O$3 * 0.01</f>
        <v>4.4379072203355227E-2</v>
      </c>
      <c r="BB146" s="207">
        <f>INDEX($A$145:$H$158,MATCH($L146,$B$145:$B$158,0),MATCH($AO$144,$A$145:$H$145,0))*고양시_Modal_split!P$3 * 0.01</f>
        <v>24.655040112975126</v>
      </c>
      <c r="BC146" s="207">
        <f>INDEX($A$145:$H$158,MATCH($L146,$B$145:$B$158,0),MATCH($BC$144,$A$145:$H$145,0))*고양시_Modal_split!C$3 * 0.01</f>
        <v>1.0848734256102221E-4</v>
      </c>
      <c r="BD146" s="207">
        <f>INDEX($A$145:$H$158,MATCH($L146,$B$145:$B$158,0),MATCH($BC$144,$A$145:$H$145,0))*고양시_Modal_split!D$3 * 0.01</f>
        <v>1.8221999002303126E-2</v>
      </c>
      <c r="BE146" s="207">
        <f>INDEX($A$145:$H$158,MATCH($L146,$B$145:$B$158,0),MATCH($BC$144,$A$145:$H$145,0))*고양시_Modal_split!E$3 * 0.01</f>
        <v>2.2046177827579156E-3</v>
      </c>
      <c r="BF146" s="207">
        <f>INDEX($A$145:$H$158,MATCH($L146,$B$145:$B$158,0),MATCH($BC$144,$A$145:$H$145,0))*고양시_Modal_split!F$3 * 0.01</f>
        <v>3.5529604688734778E-3</v>
      </c>
      <c r="BG146" s="207">
        <f>INDEX($A$145:$H$158,MATCH($L146,$B$145:$B$158,0),MATCH($BC$144,$A$145:$H$145,0))*고양시_Modal_split!G$3 * 0.01</f>
        <v>3.5645841127193012E-4</v>
      </c>
      <c r="BH146" s="207">
        <f>INDEX($A$145:$H$158,MATCH($L146,$B$145:$B$158,0),MATCH($BC$144,$A$145:$H$145,0))*고양시_Modal_split!H$3 * 0.01</f>
        <v>3.8745479486079365E-6</v>
      </c>
      <c r="BI146" s="207">
        <f>INDEX($A$145:$H$158,MATCH($L146,$B$145:$B$158,0),MATCH($BC$144,$A$145:$H$145,0))*고양시_Modal_split!I$3 * 0.01</f>
        <v>1.0771243297130063E-3</v>
      </c>
      <c r="BJ146" s="207">
        <f>INDEX($A$145:$H$158,MATCH($L146,$B$145:$B$158,0),MATCH($BC$144,$A$145:$H$145,0))*고양시_Modal_split!J$3 * 0.01</f>
        <v>1.179412395556256E-2</v>
      </c>
      <c r="BK146" s="207">
        <f>INDEX($A$145:$H$158,MATCH($L146,$B$145:$B$158,0),MATCH($BC$144,$A$145:$H$145,0))*고양시_Modal_split!K$3 * 0.01</f>
        <v>5.8118219229119038E-5</v>
      </c>
      <c r="BL146" s="207">
        <f>INDEX($A$145:$H$158,MATCH($L146,$B$145:$B$158,0),MATCH($BC$144,$A$145:$H$145,0))*고양시_Modal_split!L$3 * 0.01</f>
        <v>1.1701134804795968E-3</v>
      </c>
      <c r="BM146" s="207">
        <f>INDEX($A$145:$H$158,MATCH($L146,$B$145:$B$158,0),MATCH($BC$144,$A$145:$H$145,0))*고양시_Modal_split!M$3 * 0.01</f>
        <v>8.911460281798253E-5</v>
      </c>
      <c r="BN146" s="207">
        <f>INDEX($A$145:$H$158,MATCH($L146,$B$145:$B$158,0),MATCH($BC$144,$A$145:$H$145,0))*고양시_Modal_split!N$3 * 0.01</f>
        <v>3.8745479486079363E-5</v>
      </c>
      <c r="BO146" s="207">
        <f>INDEX($A$145:$H$158,MATCH($L146,$B$145:$B$158,0),MATCH($BC$144,$A$145:$H$145,0))*고양시_Modal_split!O$3 * 0.01</f>
        <v>6.9741863074942862E-5</v>
      </c>
      <c r="BP146" s="207">
        <f>INDEX($A$145:$H$158,MATCH($L146,$B$145:$B$158,0),MATCH($BC$144,$A$145:$H$145,0))*고양시_Modal_split!P$3 * 0.01</f>
        <v>3.8745479486079364E-2</v>
      </c>
      <c r="BQ146" s="207">
        <f>INDEX($A$145:$H$158,MATCH($L146,$B$145:$B$158,0),MATCH($BQ$144,$A$145:$H$145,0))*고양시_Modal_split!C$3 * 0.01</f>
        <v>4.0984107189719461E-4</v>
      </c>
      <c r="BR146" s="207">
        <f>INDEX($A$145:$H$158,MATCH($L146,$B$145:$B$158,0),MATCH($BQ$144,$A$145:$H$145,0))*고양시_Modal_split!D$3 * 0.01</f>
        <v>6.8838662897589525E-2</v>
      </c>
      <c r="BS146" s="207">
        <f>INDEX($A$145:$H$158,MATCH($L146,$B$145:$B$158,0),MATCH($BQ$144,$A$145:$H$145,0))*고양시_Modal_split!E$3 * 0.01</f>
        <v>8.3285560681965621E-3</v>
      </c>
      <c r="BT146" s="207">
        <f>INDEX($A$145:$H$158,MATCH($L146,$B$145:$B$158,0),MATCH($BQ$144,$A$145:$H$145,0))*고양시_Modal_split!F$3 * 0.01</f>
        <v>1.3422295104633124E-2</v>
      </c>
      <c r="BU146" s="207">
        <f>INDEX($A$145:$H$158,MATCH($L146,$B$145:$B$158,0),MATCH($BQ$144,$A$145:$H$145,0))*고양시_Modal_split!G$3 * 0.01</f>
        <v>1.346620664805068E-3</v>
      </c>
      <c r="BV146" s="207">
        <f>INDEX($A$145:$H$158,MATCH($L146,$B$145:$B$158,0),MATCH($BQ$144,$A$145:$H$145,0))*고양시_Modal_split!H$3 * 0.01</f>
        <v>1.4637181139185525E-5</v>
      </c>
      <c r="BW146" s="207">
        <f>INDEX($A$145:$H$158,MATCH($L146,$B$145:$B$158,0),MATCH($BQ$144,$A$145:$H$145,0))*고양시_Modal_split!I$3 * 0.01</f>
        <v>4.069136356693575E-3</v>
      </c>
      <c r="BX146" s="207">
        <f>INDEX($A$145:$H$158,MATCH($L146,$B$145:$B$158,0),MATCH($BQ$144,$A$145:$H$145,0))*고양시_Modal_split!J$3 * 0.01</f>
        <v>4.455557938768074E-2</v>
      </c>
      <c r="BY146" s="207">
        <f>INDEX($A$145:$H$158,MATCH($L146,$B$145:$B$158,0),MATCH($BQ$144,$A$145:$H$145,0))*고양시_Modal_split!K$3 * 0.01</f>
        <v>2.1955771708778284E-4</v>
      </c>
      <c r="BZ146" s="207">
        <f>INDEX($A$145:$H$158,MATCH($L146,$B$145:$B$158,0),MATCH($BQ$144,$A$145:$H$145,0))*고양시_Modal_split!L$3 * 0.01</f>
        <v>4.4204287040340278E-3</v>
      </c>
      <c r="CA146" s="207">
        <f>INDEX($A$145:$H$158,MATCH($L146,$B$145:$B$158,0),MATCH($BQ$144,$A$145:$H$145,0))*고양시_Modal_split!M$3 * 0.01</f>
        <v>3.3665516620126699E-4</v>
      </c>
      <c r="CB146" s="207">
        <f>INDEX($A$145:$H$158,MATCH($L146,$B$145:$B$158,0),MATCH($BQ$144,$A$145:$H$145,0))*고양시_Modal_split!N$3 * 0.01</f>
        <v>1.4637181139185525E-4</v>
      </c>
      <c r="CC146" s="207">
        <f>INDEX($A$145:$H$158,MATCH($L146,$B$145:$B$158,0),MATCH($BQ$144,$A$145:$H$145,0))*고양시_Modal_split!O$3 * 0.01</f>
        <v>2.6346926050533942E-4</v>
      </c>
      <c r="CD146" s="207">
        <f>INDEX($A$145:$H$158,MATCH($L146,$B$145:$B$158,0),MATCH($BQ$144,$A$145:$H$145,0))*고양시_Modal_split!P$3 * 0.01</f>
        <v>0.14637181139185523</v>
      </c>
      <c r="CE146" s="304">
        <f>M146+AA146+AO146+BC146+BQ146</f>
        <v>1.4391930864145179</v>
      </c>
      <c r="CF146" s="304">
        <f t="shared" ref="CF146:CF158" si="64">N146+AB146+AP146+BD146+BR146</f>
        <v>241.73303876455282</v>
      </c>
      <c r="CG146" s="304">
        <f t="shared" ref="CG146:CG158" si="65">O146+AC146+AQ146+BE146+BS146</f>
        <v>29.246459506066458</v>
      </c>
      <c r="CH146" s="304">
        <f t="shared" ref="CH146:CH158" si="66">P146+AD146+AR146+BF146+BT146</f>
        <v>47.133573580075463</v>
      </c>
      <c r="CI146" s="304">
        <f t="shared" ref="CI146:CI158" si="67">Q146+AE146+AS146+BG146+BU146</f>
        <v>4.7287772839334155</v>
      </c>
      <c r="CJ146" s="304">
        <f t="shared" ref="CJ146:CJ158" si="68">R146+AF146+AT146+BH146+BV146</f>
        <v>5.1399753086232791E-2</v>
      </c>
      <c r="CK146" s="304">
        <f t="shared" ref="CK146:CK158" si="69">S146+AG146+AU146+BI146+BW146</f>
        <v>14.289131357972716</v>
      </c>
      <c r="CL146" s="304">
        <f t="shared" ref="CL146:CL158" si="70">T146+AH146+AV146+BJ146+BX146</f>
        <v>156.46084839449264</v>
      </c>
      <c r="CM146" s="304">
        <f t="shared" ref="CM146:CM158" si="71">U146+AI146+AW146+BK146+BY146</f>
        <v>0.77099629629349187</v>
      </c>
      <c r="CN146" s="304">
        <f t="shared" ref="CN146:CN158" si="72">V146+AJ146+AX146+BL146+BZ146</f>
        <v>15.522725432042304</v>
      </c>
      <c r="CO146" s="304">
        <f t="shared" ref="CO146:CO158" si="73">W146+AK146+AY146+BM146+CA146</f>
        <v>1.1821943209833539</v>
      </c>
      <c r="CP146" s="304">
        <f t="shared" ref="CP146:CP158" si="74">X146+AL146+AZ146+BN146+CB146</f>
        <v>0.51399753086232802</v>
      </c>
      <c r="CQ146" s="304">
        <f t="shared" ref="CQ146:CQ158" si="75">Y146+AM146+BA146+BO146+CC146</f>
        <v>0.92519555555219024</v>
      </c>
      <c r="CR146" s="304">
        <f t="shared" ref="CR146:CR158" si="76">Z146+AN146+BB146+BP146+CD146</f>
        <v>513.99753086232795</v>
      </c>
      <c r="CS146" s="305">
        <f>H146-CR146</f>
        <v>0</v>
      </c>
      <c r="CV146" s="265"/>
      <c r="CW146" s="265" t="s">
        <v>12</v>
      </c>
      <c r="CX146" s="267">
        <f>INDEX($M$144:$Z$158,MATCH($CW146,$L$144:$L$158,0),MATCH(CX$145,$M$145:$Z$145,0))/INDEX(고양시_재차인원!$D$4:$H$35,MATCH("고양시",고양시_재차인원!$B$4:$B$35,0),MATCH($CX$144,고양시_재차인원!$D$4:$H$4,0))</f>
        <v>24.935937920413615</v>
      </c>
      <c r="CY146" s="267">
        <f>INDEX($M$144:$Z$158,MATCH($CW146,$L$144:$L$158,0),MATCH(CY$145,$M$145:$Z$145,0))/INDEX(고양시_재차인원!$K$4:$O$20,MATCH("경기도",고양시_재차인원!$K$4:$K$20,0),MATCH(CY$145,고양시_재차인원!$K$4:$O$4,0))</f>
        <v>2.0626573425609916E-4</v>
      </c>
      <c r="CZ146" s="267">
        <f>INDEX($M$144:$Z$158,MATCH($CW146,$L$144:$L$158,0),MATCH(CZ$145,$M$145:$Z$145,0))/INDEX(고양시_재차인원!$K$4:$O$20,MATCH("경기도",고양시_재차인원!$K$4:$K$20,0),MATCH(CZ$145,고양시_재차인원!$K$4:$O$4,0))</f>
        <v>5.7341874123195573E-2</v>
      </c>
      <c r="DA146" s="267">
        <f>INDEX($M$144:$Z$158,MATCH($CW146,$L$144:$L$158,0),MATCH(DA$145,$M$145:$Z$145,0))/INDEX(고양시_재차인원!$D$4:$H$35,MATCH("고양시",고양시_재차인원!$B$4:$B$35,0),MATCH($CX$144,고양시_재차인원!$D$4:$H$4,0))</f>
        <v>1.6012445783467808</v>
      </c>
      <c r="DB146" s="267">
        <f>INDEX($AA$144:$AN$158,MATCH($CW146,$L$144:$L$158,0),MATCH(DB$145,$AA$145:$AN$145,0))/INDEX(고양시_재차인원!$D$4:$H$35,MATCH("고양시",고양시_재차인원!$B$4:$B$35,0),MATCH($DB$144,고양시_재차인원!$D$4:$H$4,0))</f>
        <v>143.34926401890604</v>
      </c>
      <c r="DC146" s="267">
        <f>INDEX($AA$144:$AN$158,MATCH($CW146,$L$144:$L$158,0),MATCH(DC$145,$AA$145:$AN$145,0))/INDEX(고양시_재차인원!$K$4:$O$20,MATCH("경기도",고양시_재차인원!$K$4:$K$20,0),MATCH(DC$145,고양시_재차인원!$K$4:$O$4,0))</f>
        <v>1.4927873170064046E-3</v>
      </c>
      <c r="DD146" s="267">
        <f>INDEX($AA$144:$AN$158,MATCH($CW146,$L$144:$L$158,0),MATCH(DD$145,$AA$145:$AN$145,0))/INDEX(고양시_재차인원!$K$4:$O$20,MATCH("경기도",고양시_재차인원!$K$4:$K$20,0),MATCH(DD$145,고양시_재차인원!$K$4:$O$4,0))</f>
        <v>0.41499487412778047</v>
      </c>
      <c r="DE146" s="267">
        <f>INDEX($AA$144:$AN$158,MATCH($CW146,$L$144:$L$158,0),MATCH(DE$145,$AA$145:$AN$145,0))/INDEX(고양시_재차인원!$D$4:$H$35,MATCH("고양시",고양시_재차인원!$B$4:$B$35,0),MATCH($DB$144,고양시_재차인원!$D$4:$H$4,0))</f>
        <v>9.2050771281542882</v>
      </c>
      <c r="DF146" s="267">
        <f>INDEX($AO$144:$BB$158,MATCH($CW146,$L$144:$L$158,0),MATCH(DF$145,$AO$145:$BB$145,0))/INDEX(고양시_재차인원!$D$4:$H$35,MATCH("고양시",고양시_재차인원!$B$4:$B$35,0),MATCH($DF$144,고양시_재차인원!$D$4:$H$4,0))</f>
        <v>8.9194348962555399</v>
      </c>
      <c r="DG146" s="267">
        <f>INDEX($AO$144:$BB$158,MATCH($CW146,$L$144:$L$158,0),MATCH(DG$145,$AO$145:$BB$145,0))/INDEX(고양시_재차인원!$K$4:$O$20,MATCH("경기도",고양시_재차인원!$K$4:$K$20,0),MATCH(DG$145,고양시_재차인원!$K$4:$O$4,0))</f>
        <v>8.5637513417767034E-5</v>
      </c>
      <c r="DH146" s="267">
        <f>INDEX($AO$144:$BB$158,MATCH($CW146,$L$144:$L$158,0),MATCH(DH$145,$AO$145:$BB$145,0))/INDEX(고양시_재차인원!$K$4:$O$20,MATCH("경기도",고양시_재차인원!$K$4:$K$20,0),MATCH(DH$145,고양시_재차인원!$K$4:$O$4,0))</f>
        <v>2.3807228730139234E-2</v>
      </c>
      <c r="DI146" s="267">
        <f>INDEX($AO$144:$BB$158,MATCH($CW146,$L$144:$L$158,0),MATCH(DI$145,$AO$145:$BB$145,0))/INDEX(고양시_재차인원!$D$4:$H$35,MATCH("고양시",고양시_재차인원!$B$4:$B$35,0),MATCH($DF$144,고양시_재차인원!$D$4:$H$4,0))</f>
        <v>0.57275554723988364</v>
      </c>
      <c r="DJ146" s="267">
        <f>INDEX($BC$144:$BP$158,MATCH($CW146,$L$144:$L$158,0),MATCH(DJ$145,$BC$145:$BP$145,0))/INDEX(고양시_재차인원!$D$4:$H$35,MATCH("고양시",고양시_재차인원!$B$4:$B$35,0),MATCH($DJ$144,고양시_재차인원!$D$4:$H$4,0))</f>
        <v>1.3398528678164061E-2</v>
      </c>
      <c r="DK146" s="267">
        <f>INDEX($BC$144:$BP$158,MATCH($CW146,$L$144:$L$158,0),MATCH(DK$145,$BC$145:$BP$145,0))/INDEX(고양시_재차인원!$K$4:$O$20,MATCH("경기도",고양시_재차인원!$K$4:$K$20,0),MATCH(DK$145,고양시_재차인원!$K$4:$O$4,0))</f>
        <v>1.3457964392524962E-7</v>
      </c>
      <c r="DL146" s="267">
        <f>INDEX($BC$144:$BP$158,MATCH($CW146,$L$144:$L$158,0),MATCH(DL$145,$BC$145:$BP$145,0))/INDEX(고양시_재차인원!$K$4:$O$20,MATCH("경기도",고양시_재차인원!$K$4:$K$20,0),MATCH(DL$145,고양시_재차인원!$K$4:$O$4,0))</f>
        <v>3.7413141011219393E-5</v>
      </c>
      <c r="DM146" s="267">
        <f>INDEX($BC$144:$BP$158,MATCH($CW146,$L$144:$L$158,0),MATCH(DM$145,$BC$145:$BP$145,0))/INDEX(고양시_재차인원!$D$4:$H$35,MATCH("고양시",고양시_재차인원!$B$4:$B$35,0),MATCH($DJ$144,고양시_재차인원!$D$4:$H$4,0))</f>
        <v>8.6037755917617407E-4</v>
      </c>
      <c r="DN146" s="267">
        <f>INDEX($BQ$144:$CD$158,MATCH($CW146,$L$144:$L$158,0),MATCH(DN$145,$BQ$145:$CD$145,0))/INDEX(고양시_재차인원!$D$4:$H$35,MATCH("고양시",고양시_재차인원!$B$4:$B$35,0),MATCH($DN$144,고양시_재차인원!$D$4:$H$4,0))</f>
        <v>5.4633859442531366E-2</v>
      </c>
      <c r="DO146" s="267">
        <f>INDEX($BQ$144:$CD$158,MATCH($CW146,$L$144:$L$158,0),MATCH(DO$145,$BQ$145:$CD$145,0))/INDEX(고양시_재차인원!$K$4:$O$20,MATCH("경기도",고양시_재차인원!$K$4:$K$20,0),MATCH(DO$145,고양시_재차인원!$K$4:$O$4,0))</f>
        <v>5.0841198816205365E-7</v>
      </c>
      <c r="DP146" s="267">
        <f>INDEX($BQ$144:$CD$158,MATCH($CW146,$L$144:$L$158,0),MATCH(DP$145,$BQ$145:$CD$145,0))/INDEX(고양시_재차인원!$K$4:$O$20,MATCH("경기도",고양시_재차인원!$K$4:$K$20,0),MATCH(DP$145,고양시_재차인원!$K$4:$O$4,0))</f>
        <v>1.4133853270905088E-4</v>
      </c>
      <c r="DQ146" s="267">
        <f>INDEX($BQ$144:$CD$158,MATCH($CW146,$L$144:$L$158,0),MATCH(DQ$145,$BQ$145:$CD$145,0))/INDEX(고양시_재차인원!$D$4:$H$35,MATCH("고양시",고양시_재차인원!$B$4:$B$35,0),MATCH($DN$144,고양시_재차인원!$D$4:$H$4,0))</f>
        <v>3.5082767492333553E-3</v>
      </c>
      <c r="DR146" s="270">
        <f>CX146+DB146+DF146+DJ146+DN146</f>
        <v>177.27266922369589</v>
      </c>
      <c r="DS146" s="270">
        <f t="shared" ref="DS146:DS158" si="77">CY146+DC146+DG146+DK146+DO146</f>
        <v>1.7853335563123582E-3</v>
      </c>
      <c r="DT146" s="270">
        <f t="shared" ref="DT146:DT158" si="78">CZ146+DD146+DH146+DL146+DP146</f>
        <v>0.49632272865483557</v>
      </c>
      <c r="DU146" s="270">
        <f t="shared" ref="DU146:DU158" si="79">DA146+DE146+DI146+DM146+DQ146</f>
        <v>11.383445908049364</v>
      </c>
      <c r="DW146" s="278"/>
      <c r="DX146" s="278" t="s">
        <v>12</v>
      </c>
      <c r="DY146" s="281">
        <f>DR146+DU146</f>
        <v>188.65611513174525</v>
      </c>
      <c r="DZ146" s="281">
        <f>DS146+DT146</f>
        <v>0.49810806221114795</v>
      </c>
      <c r="EB146" s="278"/>
      <c r="EC146" s="278" t="s">
        <v>12</v>
      </c>
      <c r="ED146" s="281">
        <f>DY146</f>
        <v>188.65611513174525</v>
      </c>
      <c r="EE146" s="281">
        <f t="shared" ref="EE146:EE158" si="80">DZ146</f>
        <v>0.49810806221114795</v>
      </c>
      <c r="EL146" s="306" t="s">
        <v>12</v>
      </c>
      <c r="EM146" s="306" t="s">
        <v>567</v>
      </c>
      <c r="EN146" s="306">
        <v>8014.2473</v>
      </c>
      <c r="EO146" s="306">
        <v>0.11966025175817722</v>
      </c>
      <c r="EP146" s="307">
        <v>849101</v>
      </c>
      <c r="EQ146" s="308">
        <f>VLOOKUP($EL146,$EC$145:$EE$157,2,FALSE)*$EO146</f>
        <v>22.574638232384306</v>
      </c>
      <c r="ER146" s="308">
        <f>VLOOKUP($EL146,$EC$145:$EE$157,3,FALSE)*$EO146</f>
        <v>5.960373612696377E-2</v>
      </c>
      <c r="ET146" s="420" t="s">
        <v>12</v>
      </c>
      <c r="EU146" s="420" t="s">
        <v>567</v>
      </c>
      <c r="EV146" s="420">
        <v>8014.2473</v>
      </c>
      <c r="EW146" s="420">
        <v>0.11966025175817722</v>
      </c>
      <c r="EX146" s="421">
        <v>849101</v>
      </c>
      <c r="EY146" s="422">
        <f>EQ146*$AV$11*(1-$AZ$7)</f>
        <v>21.931261042761353</v>
      </c>
      <c r="EZ146" s="422">
        <f t="shared" ref="EZ146:EZ179" si="81">ER146*$AV$11*(1-$AZ$7)</f>
        <v>5.7905029647345306E-2</v>
      </c>
      <c r="FA146">
        <v>0</v>
      </c>
      <c r="FD146" s="306" t="s">
        <v>12</v>
      </c>
      <c r="FE146" s="306" t="s">
        <v>567</v>
      </c>
      <c r="FF146" s="306">
        <v>8014.2473</v>
      </c>
      <c r="FG146" s="306">
        <v>0.11966025175817722</v>
      </c>
      <c r="FH146" s="307">
        <v>849101</v>
      </c>
      <c r="FI146" s="308">
        <f t="shared" ref="FI146:FI179" si="82">EY146*$FB$95</f>
        <v>21.931261042761353</v>
      </c>
      <c r="FJ146" s="308">
        <f t="shared" ref="FJ146:FJ179" si="83">EZ146*$FB$95</f>
        <v>5.7905029647345306E-2</v>
      </c>
      <c r="FL146" s="101"/>
      <c r="FM146" s="101"/>
      <c r="FN146" s="101"/>
      <c r="FO146" s="101"/>
      <c r="FP146" s="374"/>
      <c r="FQ146" s="404"/>
      <c r="FR146" s="404"/>
    </row>
    <row r="147" spans="1:174" ht="25">
      <c r="A147" s="205"/>
      <c r="B147" s="205" t="s">
        <v>667</v>
      </c>
      <c r="C147" s="400">
        <f>$AB62*KTDB_TripDistribution_2045!T$12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1293.2432946298904</v>
      </c>
      <c r="D147" s="400">
        <f>$AB62*KTDB_TripDistribution_2045!U$12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9359.4662971510625</v>
      </c>
      <c r="E147" s="400">
        <f>$AB62*KTDB_TripDistribution_2045!V$12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536.9294148430746</v>
      </c>
      <c r="F147" s="400">
        <f>$AB62*KTDB_TripDistribution_2045!W$12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0.84378640362976787</v>
      </c>
      <c r="G147" s="400">
        <f>$AB62*KTDB_TripDistribution_2045!X$12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3.1876375248235651</v>
      </c>
      <c r="H147" s="400">
        <f>$AB62*KTDB_TripDistribution_2045!Y$12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11193.670430552478</v>
      </c>
      <c r="J147" s="230">
        <f t="shared" si="63"/>
        <v>11193.67043055248</v>
      </c>
      <c r="K147" s="206"/>
      <c r="L147" s="206" t="s">
        <v>667</v>
      </c>
      <c r="M147" s="206">
        <f>INDEX($A$145:$H$158,MATCH($L147,$B$145:$B$158,0),MATCH($M$144,$A$145:$H$145,0))*고양시_Modal_split!C$3 * 0.01</f>
        <v>3.6210812249636928</v>
      </c>
      <c r="N147" s="206">
        <f>INDEX($A$145:$H$158,MATCH($L147,$B$145:$B$158,0),MATCH($M$144,$A$145:$H$145,0))*고양시_Modal_split!D$3 * 0.01</f>
        <v>608.21232146443754</v>
      </c>
      <c r="O147" s="206">
        <f>INDEX($A$145:$H$158,MATCH($L147,$B$145:$B$158,0),MATCH($M$144,$A$145:$H$145,0))*고양시_Modal_split!E$3 * 0.01</f>
        <v>73.585543464440761</v>
      </c>
      <c r="P147" s="206">
        <f>INDEX($A$145:$H$158,MATCH($L147,$B$145:$B$158,0),MATCH($M$144,$A$145:$H$145,0))*고양시_Modal_split!F$3 * 0.01</f>
        <v>118.59041011756095</v>
      </c>
      <c r="Q147" s="206">
        <f>INDEX($A$145:$H$158,MATCH($L147,$B$145:$B$158,0),MATCH($M$144,$A$145:$H$145,0))*고양시_Modal_split!G$3 * 0.01</f>
        <v>11.897838310594992</v>
      </c>
      <c r="R147" s="206">
        <f>INDEX($A$145:$H$158,MATCH($L147,$B$145:$B$158,0),MATCH($M$144,$A$145:$H$145,0))*고양시_Modal_split!H$3 * 0.01</f>
        <v>0.12932432946298905</v>
      </c>
      <c r="S147" s="206">
        <f>INDEX($A$145:$H$158,MATCH($L147,$B$145:$B$158,0),MATCH($M$144,$A$145:$H$145,0))*고양시_Modal_split!I$3 * 0.01</f>
        <v>35.952163590710953</v>
      </c>
      <c r="T147" s="206">
        <f>INDEX($A$145:$H$158,MATCH($L147,$B$145:$B$158,0),MATCH($M$144,$A$145:$H$145,0))*고양시_Modal_split!J$3 * 0.01</f>
        <v>393.66325888533868</v>
      </c>
      <c r="U147" s="206">
        <f>INDEX($A$145:$H$158,MATCH($L147,$B$145:$B$158,0),MATCH($M$144,$A$145:$H$145,0))*고양시_Modal_split!K$3 * 0.01</f>
        <v>1.9398649419448355</v>
      </c>
      <c r="V147" s="206">
        <f>INDEX($A$145:$H$158,MATCH($L147,$B$145:$B$158,0),MATCH($M$144,$A$145:$H$145,0))*고양시_Modal_split!L$3 * 0.01</f>
        <v>39.055947497822693</v>
      </c>
      <c r="W147" s="206">
        <f>INDEX($A$145:$H$158,MATCH($L147,$B$145:$B$158,0),MATCH($M$144,$A$145:$H$145,0))*고양시_Modal_split!M$3 * 0.01</f>
        <v>2.9744595776487479</v>
      </c>
      <c r="X147" s="206">
        <f>INDEX($A$145:$H$158,MATCH($L147,$B$145:$B$158,0),MATCH($M$144,$A$145:$H$145,0))*고양시_Modal_split!N$3 * 0.01</f>
        <v>1.2932432946298906</v>
      </c>
      <c r="Y147" s="206">
        <f>INDEX($A$145:$H$158,MATCH($L147,$B$145:$B$158,0),MATCH($M$144,$A$145:$H$145,0))*고양시_Modal_split!O$3 * 0.01</f>
        <v>2.327837930333803</v>
      </c>
      <c r="Z147" s="209">
        <f>INDEX($A$145:$H$158,MATCH($L147,$B$145:$B$158,0),MATCH($M$144,$A$145:$H$145,0))*고양시_Modal_split!P$3 * 0.01</f>
        <v>1293.2432946298904</v>
      </c>
      <c r="AA147" s="207">
        <f>INDEX($A$145:$H$158,MATCH($L147,$B$145:$B$158,0),MATCH($AA$144,$A$145:$H$145,0))*고양시_Modal_split!C$3 * 0.01</f>
        <v>26.206505632022974</v>
      </c>
      <c r="AB147" s="207">
        <f>INDEX($A$145:$H$158,MATCH($L147,$B$145:$B$158,0),MATCH($AA$144,$A$145:$H$145,0))*고양시_Modal_split!D$3 * 0.01</f>
        <v>4401.7569995501444</v>
      </c>
      <c r="AC147" s="207">
        <f>INDEX($A$145:$H$158,MATCH($L147,$B$145:$B$158,0),MATCH($AA$144,$A$145:$H$145,0))*고양시_Modal_split!E$3 * 0.01</f>
        <v>532.55363230789544</v>
      </c>
      <c r="AD147" s="207">
        <f>INDEX($A$145:$H$158,MATCH($L147,$B$145:$B$158,0),MATCH($AA$144,$A$145:$H$145,0))*고양시_Modal_split!F$3 * 0.01</f>
        <v>858.26305944875253</v>
      </c>
      <c r="AE147" s="207">
        <f>INDEX($A$145:$H$158,MATCH($L147,$B$145:$B$158,0),MATCH($AA$144,$A$145:$H$145,0))*고양시_Modal_split!G$3 * 0.01</f>
        <v>86.10708993378978</v>
      </c>
      <c r="AF147" s="207">
        <f>INDEX($A$145:$H$158,MATCH($L147,$B$145:$B$158,0),MATCH($AA$144,$A$145:$H$145,0))*고양시_Modal_split!H$3 * 0.01</f>
        <v>0.93594662971510634</v>
      </c>
      <c r="AG147" s="207">
        <f>INDEX($A$145:$H$158,MATCH($L147,$B$145:$B$158,0),MATCH($AA$144,$A$145:$H$145,0))*고양시_Modal_split!I$3 * 0.01</f>
        <v>260.19316306079952</v>
      </c>
      <c r="AH147" s="207">
        <f>INDEX($A$145:$H$158,MATCH($L147,$B$145:$B$158,0),MATCH($AA$144,$A$145:$H$145,0))*고양시_Modal_split!J$3 * 0.01</f>
        <v>2849.0215408527833</v>
      </c>
      <c r="AI147" s="207">
        <f>INDEX($A$145:$H$158,MATCH($L147,$B$145:$B$158,0),MATCH($AA$144,$A$145:$H$145,0))*고양시_Modal_split!K$3 * 0.01</f>
        <v>14.039199445726593</v>
      </c>
      <c r="AJ147" s="207">
        <f>INDEX($A$145:$H$158,MATCH($L147,$B$145:$B$158,0),MATCH($AA$144,$A$145:$H$145,0))*고양시_Modal_split!L$3 * 0.01</f>
        <v>282.65588217396208</v>
      </c>
      <c r="AK147" s="207">
        <f>INDEX($A$145:$H$158,MATCH($L147,$B$145:$B$158,0),MATCH($AA$144,$A$145:$H$145,0))*고양시_Modal_split!M$3 * 0.01</f>
        <v>21.526772483447445</v>
      </c>
      <c r="AL147" s="207">
        <f>INDEX($A$145:$H$158,MATCH($L147,$B$145:$B$158,0),MATCH($AA$144,$A$145:$H$145,0))*고양시_Modal_split!N$3 * 0.01</f>
        <v>9.3594662971510623</v>
      </c>
      <c r="AM147" s="207">
        <f>INDEX($A$145:$H$158,MATCH($L147,$B$145:$B$158,0),MATCH($AA$144,$A$145:$H$145,0))*고양시_Modal_split!O$3 * 0.01</f>
        <v>16.847039334871912</v>
      </c>
      <c r="AN147" s="207">
        <f>INDEX($A$145:$H$158,MATCH($L147,$B$145:$B$158,0),MATCH($AA$144,$A$145:$H$145,0))*고양시_Modal_split!P$3 * 0.01</f>
        <v>9359.4662971510625</v>
      </c>
      <c r="AO147" s="303">
        <f>INDEX($A$145:$H$158,MATCH($L147,$B$145:$B$158,0),MATCH($AO$144,$A$145:$H$145,0))*고양시_Modal_split!C$3 * 0.01</f>
        <v>1.5034023615606089</v>
      </c>
      <c r="AP147" s="303">
        <f>INDEX($A$145:$H$158,MATCH($L147,$B$145:$B$158,0),MATCH($AO$144,$A$145:$H$145,0))*고양시_Modal_split!D$3 * 0.01</f>
        <v>252.51790380069801</v>
      </c>
      <c r="AQ147" s="303">
        <f>INDEX($A$145:$H$158,MATCH($L147,$B$145:$B$158,0),MATCH($AO$144,$A$145:$H$145,0))*고양시_Modal_split!E$3 * 0.01</f>
        <v>30.551283704570942</v>
      </c>
      <c r="AR147" s="303">
        <f>INDEX($A$145:$H$158,MATCH($L147,$B$145:$B$158,0),MATCH($AO$144,$A$145:$H$145,0))*고양시_Modal_split!F$3 * 0.01</f>
        <v>49.236427341109938</v>
      </c>
      <c r="AS147" s="303">
        <f>INDEX($A$145:$H$158,MATCH($L147,$B$145:$B$158,0),MATCH($AO$144,$A$145:$H$145,0))*고양시_Modal_split!G$3 * 0.01</f>
        <v>4.9397506165562861</v>
      </c>
      <c r="AT147" s="303">
        <f>INDEX($A$145:$H$158,MATCH($L147,$B$145:$B$158,0),MATCH($AO$144,$A$145:$H$145,0))*고양시_Modal_split!H$3 * 0.01</f>
        <v>5.3692941484307463E-2</v>
      </c>
      <c r="AU147" s="303">
        <f>INDEX($A$145:$H$158,MATCH($L147,$B$145:$B$158,0),MATCH($AO$144,$A$145:$H$145,0))*고양시_Modal_split!I$3 * 0.01</f>
        <v>14.926637732637474</v>
      </c>
      <c r="AV147" s="303">
        <f>INDEX($A$145:$H$158,MATCH($L147,$B$145:$B$158,0),MATCH($AO$144,$A$145:$H$145,0))*고양시_Modal_split!J$3 * 0.01</f>
        <v>163.44131387823194</v>
      </c>
      <c r="AW147" s="303">
        <f>INDEX($A$145:$H$158,MATCH($L147,$B$145:$B$158,0),MATCH($AO$144,$A$145:$H$145,0))*고양시_Modal_split!K$3 * 0.01</f>
        <v>0.80539412226461182</v>
      </c>
      <c r="AX147" s="303">
        <f>INDEX($A$145:$H$158,MATCH($L147,$B$145:$B$158,0),MATCH($AO$144,$A$145:$H$145,0))*고양시_Modal_split!L$3 * 0.01</f>
        <v>16.215268328260851</v>
      </c>
      <c r="AY147" s="303">
        <f>INDEX($A$145:$H$158,MATCH($L147,$B$145:$B$158,0),MATCH($AO$144,$A$145:$H$145,0))*고양시_Modal_split!M$3 * 0.01</f>
        <v>1.2349376541390715</v>
      </c>
      <c r="AZ147" s="303">
        <f>INDEX($A$145:$H$158,MATCH($L147,$B$145:$B$158,0),MATCH($AO$144,$A$145:$H$145,0))*고양시_Modal_split!N$3 * 0.01</f>
        <v>0.53692941484307466</v>
      </c>
      <c r="BA147" s="207">
        <f>INDEX($A$145:$H$158,MATCH($L147,$B$145:$B$158,0),MATCH($AO$144,$A$145:$H$145,0))*고양시_Modal_split!O$3 * 0.01</f>
        <v>0.96647294671753425</v>
      </c>
      <c r="BB147" s="207">
        <f>INDEX($A$145:$H$158,MATCH($L147,$B$145:$B$158,0),MATCH($AO$144,$A$145:$H$145,0))*고양시_Modal_split!P$3 * 0.01</f>
        <v>536.9294148430746</v>
      </c>
      <c r="BC147" s="207">
        <f>INDEX($A$145:$H$158,MATCH($L147,$B$145:$B$158,0),MATCH($BC$144,$A$145:$H$145,0))*고양시_Modal_split!C$3 * 0.01</f>
        <v>2.3626019301633498E-3</v>
      </c>
      <c r="BD147" s="207">
        <f>INDEX($A$145:$H$158,MATCH($L147,$B$145:$B$158,0),MATCH($BC$144,$A$145:$H$145,0))*고양시_Modal_split!D$3 * 0.01</f>
        <v>0.39683274562707987</v>
      </c>
      <c r="BE147" s="207">
        <f>INDEX($A$145:$H$158,MATCH($L147,$B$145:$B$158,0),MATCH($BC$144,$A$145:$H$145,0))*고양시_Modal_split!E$3 * 0.01</f>
        <v>4.8011446366533789E-2</v>
      </c>
      <c r="BF147" s="207">
        <f>INDEX($A$145:$H$158,MATCH($L147,$B$145:$B$158,0),MATCH($BC$144,$A$145:$H$145,0))*고양시_Modal_split!F$3 * 0.01</f>
        <v>7.7375213212849708E-2</v>
      </c>
      <c r="BG147" s="207">
        <f>INDEX($A$145:$H$158,MATCH($L147,$B$145:$B$158,0),MATCH($BC$144,$A$145:$H$145,0))*고양시_Modal_split!G$3 * 0.01</f>
        <v>7.7628349133938637E-3</v>
      </c>
      <c r="BH147" s="207">
        <f>INDEX($A$145:$H$158,MATCH($L147,$B$145:$B$158,0),MATCH($BC$144,$A$145:$H$145,0))*고양시_Modal_split!H$3 * 0.01</f>
        <v>8.4378640362976781E-5</v>
      </c>
      <c r="BI147" s="207">
        <f>INDEX($A$145:$H$158,MATCH($L147,$B$145:$B$158,0),MATCH($BC$144,$A$145:$H$145,0))*고양시_Modal_split!I$3 * 0.01</f>
        <v>2.3457262020907543E-2</v>
      </c>
      <c r="BJ147" s="207">
        <f>INDEX($A$145:$H$158,MATCH($L147,$B$145:$B$158,0),MATCH($BC$144,$A$145:$H$145,0))*고양시_Modal_split!J$3 * 0.01</f>
        <v>0.25684858126490134</v>
      </c>
      <c r="BK147" s="207">
        <f>INDEX($A$145:$H$158,MATCH($L147,$B$145:$B$158,0),MATCH($BC$144,$A$145:$H$145,0))*고양시_Modal_split!K$3 * 0.01</f>
        <v>1.2656796054446517E-3</v>
      </c>
      <c r="BL147" s="207">
        <f>INDEX($A$145:$H$158,MATCH($L147,$B$145:$B$158,0),MATCH($BC$144,$A$145:$H$145,0))*고양시_Modal_split!L$3 * 0.01</f>
        <v>2.5482349389618988E-2</v>
      </c>
      <c r="BM147" s="207">
        <f>INDEX($A$145:$H$158,MATCH($L147,$B$145:$B$158,0),MATCH($BC$144,$A$145:$H$145,0))*고양시_Modal_split!M$3 * 0.01</f>
        <v>1.9407087283484659E-3</v>
      </c>
      <c r="BN147" s="207">
        <f>INDEX($A$145:$H$158,MATCH($L147,$B$145:$B$158,0),MATCH($BC$144,$A$145:$H$145,0))*고양시_Modal_split!N$3 * 0.01</f>
        <v>8.4378640362976797E-4</v>
      </c>
      <c r="BO147" s="207">
        <f>INDEX($A$145:$H$158,MATCH($L147,$B$145:$B$158,0),MATCH($BC$144,$A$145:$H$145,0))*고양시_Modal_split!O$3 * 0.01</f>
        <v>1.5188155265335821E-3</v>
      </c>
      <c r="BP147" s="207">
        <f>INDEX($A$145:$H$158,MATCH($L147,$B$145:$B$158,0),MATCH($BC$144,$A$145:$H$145,0))*고양시_Modal_split!P$3 * 0.01</f>
        <v>0.84378640362976787</v>
      </c>
      <c r="BQ147" s="207">
        <f>INDEX($A$145:$H$158,MATCH($L147,$B$145:$B$158,0),MATCH($BQ$144,$A$145:$H$145,0))*고양시_Modal_split!C$3 * 0.01</f>
        <v>8.9253850695059818E-3</v>
      </c>
      <c r="BR147" s="207">
        <f>INDEX($A$145:$H$158,MATCH($L147,$B$145:$B$158,0),MATCH($BQ$144,$A$145:$H$145,0))*고양시_Modal_split!D$3 * 0.01</f>
        <v>1.4991459279245229</v>
      </c>
      <c r="BS147" s="207">
        <f>INDEX($A$145:$H$158,MATCH($L147,$B$145:$B$158,0),MATCH($BQ$144,$A$145:$H$145,0))*고양시_Modal_split!E$3 * 0.01</f>
        <v>0.18137657516246083</v>
      </c>
      <c r="BT147" s="207">
        <f>INDEX($A$145:$H$158,MATCH($L147,$B$145:$B$158,0),MATCH($BQ$144,$A$145:$H$145,0))*고양시_Modal_split!F$3 * 0.01</f>
        <v>0.29230636102632096</v>
      </c>
      <c r="BU147" s="207">
        <f>INDEX($A$145:$H$158,MATCH($L147,$B$145:$B$158,0),MATCH($BQ$144,$A$145:$H$145,0))*고양시_Modal_split!G$3 * 0.01</f>
        <v>2.9326265228376797E-2</v>
      </c>
      <c r="BV147" s="207">
        <f>INDEX($A$145:$H$158,MATCH($L147,$B$145:$B$158,0),MATCH($BQ$144,$A$145:$H$145,0))*고양시_Modal_split!H$3 * 0.01</f>
        <v>3.1876375248235655E-4</v>
      </c>
      <c r="BW147" s="207">
        <f>INDEX($A$145:$H$158,MATCH($L147,$B$145:$B$158,0),MATCH($BQ$144,$A$145:$H$145,0))*고양시_Modal_split!I$3 * 0.01</f>
        <v>8.8616323190095103E-2</v>
      </c>
      <c r="BX147" s="207">
        <f>INDEX($A$145:$H$158,MATCH($L147,$B$145:$B$158,0),MATCH($BQ$144,$A$145:$H$145,0))*고양시_Modal_split!J$3 * 0.01</f>
        <v>0.97031686255629324</v>
      </c>
      <c r="BY147" s="207">
        <f>INDEX($A$145:$H$158,MATCH($L147,$B$145:$B$158,0),MATCH($BQ$144,$A$145:$H$145,0))*고양시_Modal_split!K$3 * 0.01</f>
        <v>4.7814562872353474E-3</v>
      </c>
      <c r="BZ147" s="207">
        <f>INDEX($A$145:$H$158,MATCH($L147,$B$145:$B$158,0),MATCH($BQ$144,$A$145:$H$145,0))*고양시_Modal_split!L$3 * 0.01</f>
        <v>9.6266653249671666E-2</v>
      </c>
      <c r="CA147" s="207">
        <f>INDEX($A$145:$H$158,MATCH($L147,$B$145:$B$158,0),MATCH($BQ$144,$A$145:$H$145,0))*고양시_Modal_split!M$3 * 0.01</f>
        <v>7.3315663070941993E-3</v>
      </c>
      <c r="CB147" s="207">
        <f>INDEX($A$145:$H$158,MATCH($L147,$B$145:$B$158,0),MATCH($BQ$144,$A$145:$H$145,0))*고양시_Modal_split!N$3 * 0.01</f>
        <v>3.1876375248235658E-3</v>
      </c>
      <c r="CC147" s="207">
        <f>INDEX($A$145:$H$158,MATCH($L147,$B$145:$B$158,0),MATCH($BQ$144,$A$145:$H$145,0))*고양시_Modal_split!O$3 * 0.01</f>
        <v>5.7377475446824169E-3</v>
      </c>
      <c r="CD147" s="207">
        <f>INDEX($A$145:$H$158,MATCH($L147,$B$145:$B$158,0),MATCH($BQ$144,$A$145:$H$145,0))*고양시_Modal_split!P$3 * 0.01</f>
        <v>3.1876375248235651</v>
      </c>
      <c r="CE147" s="304">
        <f t="shared" ref="CE147:CE158" si="84">M147+AA147+AO147+BC147+BQ147</f>
        <v>31.342277205546946</v>
      </c>
      <c r="CF147" s="304">
        <f t="shared" si="64"/>
        <v>5264.383203488831</v>
      </c>
      <c r="CG147" s="304">
        <f t="shared" si="65"/>
        <v>636.91984749843618</v>
      </c>
      <c r="CH147" s="304">
        <f t="shared" si="66"/>
        <v>1026.4595784816627</v>
      </c>
      <c r="CI147" s="304">
        <f t="shared" si="67"/>
        <v>102.98176796108282</v>
      </c>
      <c r="CJ147" s="304">
        <f t="shared" si="68"/>
        <v>1.1193670430552483</v>
      </c>
      <c r="CK147" s="304">
        <f t="shared" si="69"/>
        <v>311.18403796935888</v>
      </c>
      <c r="CL147" s="304">
        <f t="shared" si="70"/>
        <v>3407.3532790601753</v>
      </c>
      <c r="CM147" s="304">
        <f t="shared" si="71"/>
        <v>16.790505645828723</v>
      </c>
      <c r="CN147" s="304">
        <f t="shared" si="72"/>
        <v>338.04884700268491</v>
      </c>
      <c r="CO147" s="304">
        <f t="shared" si="73"/>
        <v>25.745441990270706</v>
      </c>
      <c r="CP147" s="304">
        <f t="shared" si="74"/>
        <v>11.19367043055248</v>
      </c>
      <c r="CQ147" s="304">
        <f t="shared" si="75"/>
        <v>20.148606774994466</v>
      </c>
      <c r="CR147" s="304">
        <f t="shared" si="76"/>
        <v>11193.67043055248</v>
      </c>
      <c r="CS147" s="305">
        <f t="shared" ref="CS147:CS158" si="85">H147-CR147</f>
        <v>0</v>
      </c>
      <c r="CV147" s="265"/>
      <c r="CW147" s="265" t="s">
        <v>667</v>
      </c>
      <c r="CX147" s="267">
        <f>INDEX($M$144:$Z$158,MATCH($CW147,$L$144:$L$158,0),MATCH(CX$145,$M$145:$Z$145,0))/INDEX(고양시_재차인원!$D$4:$H$35,MATCH("고양시",고양시_재차인원!$B$4:$B$35,0),MATCH($CX$144,고양시_재차인원!$D$4:$H$4,0))</f>
        <v>543.04671559324777</v>
      </c>
      <c r="CY147" s="267">
        <f>INDEX($M$144:$Z$158,MATCH($CW147,$L$144:$L$158,0),MATCH(CY$145,$M$145:$Z$145,0))/INDEX(고양시_재차인원!$K$4:$O$20,MATCH("경기도",고양시_재차인원!$K$4:$K$20,0),MATCH(CY$145,고양시_재차인원!$K$4:$O$4,0))</f>
        <v>4.491987824348352E-3</v>
      </c>
      <c r="CZ147" s="267">
        <f>INDEX($M$144:$Z$158,MATCH($CW147,$L$144:$L$158,0),MATCH(CZ$145,$M$145:$Z$145,0))/INDEX(고양시_재차인원!$K$4:$O$20,MATCH("경기도",고양시_재차인원!$K$4:$K$20,0),MATCH(CZ$145,고양시_재차인원!$K$4:$O$4,0))</f>
        <v>1.2487726151688416</v>
      </c>
      <c r="DA147" s="267">
        <f>INDEX($M$144:$Z$158,MATCH($CW147,$L$144:$L$158,0),MATCH(DA$145,$M$145:$Z$145,0))/INDEX(고양시_재차인원!$D$4:$H$35,MATCH("고양시",고양시_재차인원!$B$4:$B$35,0),MATCH($CX$144,고양시_재차인원!$D$4:$H$4,0))</f>
        <v>34.871381694484541</v>
      </c>
      <c r="DB147" s="267">
        <f>INDEX($AA$144:$AN$158,MATCH($CW147,$L$144:$L$158,0),MATCH(DB$145,$AA$145:$AN$145,0))/INDEX(고양시_재차인원!$D$4:$H$35,MATCH("고양시",고양시_재차인원!$B$4:$B$35,0),MATCH($DB$144,고양시_재차인원!$D$4:$H$4,0))</f>
        <v>3121.8134748582588</v>
      </c>
      <c r="DC147" s="267">
        <f>INDEX($AA$144:$AN$158,MATCH($CW147,$L$144:$L$158,0),MATCH(DC$145,$AA$145:$AN$145,0))/INDEX(고양시_재차인원!$K$4:$O$20,MATCH("경기도",고양시_재차인원!$K$4:$K$20,0),MATCH(DC$145,고양시_재차인원!$K$4:$O$4,0))</f>
        <v>3.2509434863324291E-2</v>
      </c>
      <c r="DD147" s="267">
        <f>INDEX($AA$144:$AN$158,MATCH($CW147,$L$144:$L$158,0),MATCH(DD$145,$AA$145:$AN$145,0))/INDEX(고양시_재차인원!$K$4:$O$20,MATCH("경기도",고양시_재차인원!$K$4:$K$20,0),MATCH(DD$145,고양시_재차인원!$K$4:$O$4,0))</f>
        <v>9.0376228920041513</v>
      </c>
      <c r="DE147" s="267">
        <f>INDEX($AA$144:$AN$158,MATCH($CW147,$L$144:$L$158,0),MATCH(DE$145,$AA$145:$AN$145,0))/INDEX(고양시_재차인원!$D$4:$H$35,MATCH("고양시",고양시_재차인원!$B$4:$B$35,0),MATCH($DB$144,고양시_재차인원!$D$4:$H$4,0))</f>
        <v>200.46516466238447</v>
      </c>
      <c r="DF147" s="267">
        <f>INDEX($AO$144:$BB$158,MATCH($CW147,$L$144:$L$158,0),MATCH(DF$145,$AO$145:$BB$145,0))/INDEX(고양시_재차인원!$D$4:$H$35,MATCH("고양시",고양시_재차인원!$B$4:$B$35,0),MATCH($DF$144,고양시_재차인원!$D$4:$H$4,0))</f>
        <v>194.2445413851523</v>
      </c>
      <c r="DG147" s="267">
        <f>INDEX($AO$144:$BB$158,MATCH($CW147,$L$144:$L$158,0),MATCH(DG$145,$AO$145:$BB$145,0))/INDEX(고양시_재차인원!$K$4:$O$20,MATCH("경기도",고양시_재차인원!$K$4:$K$20,0),MATCH(DG$145,고양시_재차인원!$K$4:$O$4,0))</f>
        <v>1.864985810500433E-3</v>
      </c>
      <c r="DH147" s="267">
        <f>INDEX($AO$144:$BB$158,MATCH($CW147,$L$144:$L$158,0),MATCH(DH$145,$AO$145:$BB$145,0))/INDEX(고양시_재차인원!$K$4:$O$20,MATCH("경기도",고양시_재차인원!$K$4:$K$20,0),MATCH(DH$145,고양시_재차인원!$K$4:$O$4,0))</f>
        <v>0.51846605531912038</v>
      </c>
      <c r="DI147" s="267">
        <f>INDEX($AO$144:$BB$158,MATCH($CW147,$L$144:$L$158,0),MATCH(DI$145,$AO$145:$BB$145,0))/INDEX(고양시_재차인원!$D$4:$H$35,MATCH("고양시",고양시_재차인원!$B$4:$B$35,0),MATCH($DF$144,고양시_재차인원!$D$4:$H$4,0))</f>
        <v>12.473283329431423</v>
      </c>
      <c r="DJ147" s="267">
        <f>INDEX($BC$144:$BP$158,MATCH($CW147,$L$144:$L$158,0),MATCH(DJ$145,$BC$145:$BP$145,0))/INDEX(고양시_재차인원!$D$4:$H$35,MATCH("고양시",고양시_재차인원!$B$4:$B$35,0),MATCH($DJ$144,고양시_재차인원!$D$4:$H$4,0))</f>
        <v>0.29178878354932342</v>
      </c>
      <c r="DK147" s="267">
        <f>INDEX($BC$144:$BP$158,MATCH($CW147,$L$144:$L$158,0),MATCH(DK$145,$BC$145:$BP$145,0))/INDEX(고양시_재차인원!$K$4:$O$20,MATCH("경기도",고양시_재차인원!$K$4:$K$20,0),MATCH(DK$145,고양시_재차인원!$K$4:$O$4,0))</f>
        <v>2.9308315513364637E-6</v>
      </c>
      <c r="DL147" s="267">
        <f>INDEX($BC$144:$BP$158,MATCH($CW147,$L$144:$L$158,0),MATCH(DL$145,$BC$145:$BP$145,0))/INDEX(고양시_재차인원!$K$4:$O$20,MATCH("경기도",고양시_재차인원!$K$4:$K$20,0),MATCH(DL$145,고양시_재차인원!$K$4:$O$4,0))</f>
        <v>8.1477117127153672E-4</v>
      </c>
      <c r="DM147" s="267">
        <f>INDEX($BC$144:$BP$158,MATCH($CW147,$L$144:$L$158,0),MATCH(DM$145,$BC$145:$BP$145,0))/INDEX(고양시_재차인원!$D$4:$H$35,MATCH("고양시",고양시_재차인원!$B$4:$B$35,0),MATCH($DJ$144,고양시_재차인원!$D$4:$H$4,0))</f>
        <v>1.8737021610013959E-2</v>
      </c>
      <c r="DN147" s="267">
        <f>INDEX($BQ$144:$CD$158,MATCH($CW147,$L$144:$L$158,0),MATCH(DN$145,$BQ$145:$CD$145,0))/INDEX(고양시_재차인원!$D$4:$H$35,MATCH("고양시",고양시_재차인원!$B$4:$B$35,0),MATCH($DN$144,고양시_재차인원!$D$4:$H$4,0))</f>
        <v>1.189798355495653</v>
      </c>
      <c r="DO147" s="267">
        <f>INDEX($BQ$144:$CD$158,MATCH($CW147,$L$144:$L$158,0),MATCH(DO$145,$BQ$145:$CD$145,0))/INDEX(고양시_재차인원!$K$4:$O$20,MATCH("경기도",고양시_재차인원!$K$4:$K$20,0),MATCH(DO$145,고양시_재차인원!$K$4:$O$4,0))</f>
        <v>1.1072030305048855E-5</v>
      </c>
      <c r="DP147" s="267">
        <f>INDEX($BQ$144:$CD$158,MATCH($CW147,$L$144:$L$158,0),MATCH(DP$145,$BQ$145:$CD$145,0))/INDEX(고양시_재차인원!$K$4:$O$20,MATCH("경기도",고양시_재차인원!$K$4:$K$20,0),MATCH(DP$145,고양시_재차인원!$K$4:$O$4,0))</f>
        <v>3.0780244248035812E-3</v>
      </c>
      <c r="DQ147" s="267">
        <f>INDEX($BQ$144:$CD$158,MATCH($CW147,$L$144:$L$158,0),MATCH(DQ$145,$BQ$145:$CD$145,0))/INDEX(고양시_재차인원!$D$4:$H$35,MATCH("고양시",고양시_재차인원!$B$4:$B$35,0),MATCH($DN$144,고양시_재차인원!$D$4:$H$4,0))</f>
        <v>7.6402105753707678E-2</v>
      </c>
      <c r="DR147" s="270">
        <f t="shared" ref="DR147:DR158" si="86">CX147+DB147+DF147+DJ147+DN147</f>
        <v>3860.5863189757038</v>
      </c>
      <c r="DS147" s="270">
        <f t="shared" si="77"/>
        <v>3.8880411360029461E-2</v>
      </c>
      <c r="DT147" s="270">
        <f t="shared" si="78"/>
        <v>10.808754358088187</v>
      </c>
      <c r="DU147" s="270">
        <f t="shared" si="79"/>
        <v>247.90496881366414</v>
      </c>
      <c r="DW147" s="278"/>
      <c r="DX147" s="278" t="s">
        <v>667</v>
      </c>
      <c r="DY147" s="281">
        <f t="shared" ref="DY147:DY158" si="87">DR147+DU147</f>
        <v>4108.4912877893676</v>
      </c>
      <c r="DZ147" s="281">
        <f t="shared" ref="DZ147:DZ158" si="88">DS147+DT147</f>
        <v>10.847634769448216</v>
      </c>
      <c r="EB147" s="278"/>
      <c r="EC147" s="278" t="s">
        <v>667</v>
      </c>
      <c r="ED147" s="281">
        <f t="shared" ref="ED147:ED158" si="89">DY147</f>
        <v>4108.4912877893676</v>
      </c>
      <c r="EE147" s="281">
        <f t="shared" si="80"/>
        <v>10.847634769448216</v>
      </c>
      <c r="EL147" s="306" t="s">
        <v>12</v>
      </c>
      <c r="EM147" s="306" t="s">
        <v>610</v>
      </c>
      <c r="EN147" s="306">
        <v>5231.5074000000004</v>
      </c>
      <c r="EO147" s="306">
        <v>7.8111327130966773E-2</v>
      </c>
      <c r="EP147" s="307">
        <v>849102</v>
      </c>
      <c r="EQ147" s="308">
        <f t="shared" ref="EQ147:EQ157" si="90">VLOOKUP($EL147,$EC$145:$EE$157,2,FALSE)*$EO147</f>
        <v>14.736179524313084</v>
      </c>
      <c r="ER147" s="308">
        <f t="shared" ref="ER147:ER157" si="91">VLOOKUP($EL147,$EC$145:$EE$157,3,FALSE)*$EO147</f>
        <v>3.8907881793946927E-2</v>
      </c>
      <c r="ET147" s="420" t="s">
        <v>12</v>
      </c>
      <c r="EU147" s="420" t="s">
        <v>610</v>
      </c>
      <c r="EV147" s="420">
        <v>5231.5074000000004</v>
      </c>
      <c r="EW147" s="420">
        <v>7.8111327130966773E-2</v>
      </c>
      <c r="EX147" s="421">
        <v>849102</v>
      </c>
      <c r="EY147" s="422">
        <f t="shared" ref="EY147:EY179" si="92">EQ147*$AV$11*(1-$AZ$7)</f>
        <v>14.316198407870161</v>
      </c>
      <c r="EZ147" s="422">
        <f t="shared" si="81"/>
        <v>3.7799007162819441E-2</v>
      </c>
      <c r="FA147">
        <v>0</v>
      </c>
      <c r="FD147" s="306" t="s">
        <v>12</v>
      </c>
      <c r="FE147" s="306" t="s">
        <v>610</v>
      </c>
      <c r="FF147" s="306">
        <v>5231.5074000000004</v>
      </c>
      <c r="FG147" s="306">
        <v>7.8111327130966773E-2</v>
      </c>
      <c r="FH147" s="307">
        <v>849102</v>
      </c>
      <c r="FI147" s="308">
        <f t="shared" si="82"/>
        <v>14.316198407870161</v>
      </c>
      <c r="FJ147" s="308">
        <f t="shared" si="83"/>
        <v>3.7799007162819441E-2</v>
      </c>
      <c r="FL147" s="101"/>
      <c r="FM147" s="101"/>
      <c r="FN147" s="101"/>
      <c r="FO147" s="101"/>
      <c r="FP147" s="374"/>
      <c r="FQ147" s="404"/>
      <c r="FR147" s="404"/>
    </row>
    <row r="148" spans="1:174" ht="25">
      <c r="A148" s="205"/>
      <c r="B148" s="205" t="s">
        <v>669</v>
      </c>
      <c r="C148" s="400">
        <f>$AB63*KTDB_TripDistribution_2045!T$12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972.09112605175881</v>
      </c>
      <c r="D148" s="400">
        <f>$AB63*KTDB_TripDistribution_2045!U$12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7035.2223512938181</v>
      </c>
      <c r="E148" s="400">
        <f>$AB63*KTDB_TripDistribution_2045!V$12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403.59329265611251</v>
      </c>
      <c r="F148" s="400">
        <f>$AB63*KTDB_TripDistribution_2045!W$12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0.63424823361358817</v>
      </c>
      <c r="G148" s="400">
        <f>$AB63*KTDB_TripDistribution_2045!X$12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2.39604888254022</v>
      </c>
      <c r="H148" s="400">
        <f>$AB63*KTDB_TripDistribution_2045!Y$12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8413.937067117844</v>
      </c>
      <c r="J148" s="230">
        <f t="shared" si="63"/>
        <v>8413.9370671178422</v>
      </c>
      <c r="K148" s="206"/>
      <c r="L148" s="206" t="s">
        <v>669</v>
      </c>
      <c r="M148" s="206">
        <f>INDEX($A$145:$H$158,MATCH($L148,$B$145:$B$158,0),MATCH($M$144,$A$145:$H$145,0))*고양시_Modal_split!C$3 * 0.01</f>
        <v>2.7218551529449249</v>
      </c>
      <c r="N148" s="206">
        <f>INDEX($A$145:$H$158,MATCH($L148,$B$145:$B$158,0),MATCH($M$144,$A$145:$H$145,0))*고양시_Modal_split!D$3 * 0.01</f>
        <v>457.17445658214217</v>
      </c>
      <c r="O148" s="206">
        <f>INDEX($A$145:$H$158,MATCH($L148,$B$145:$B$158,0),MATCH($M$144,$A$145:$H$145,0))*고양시_Modal_split!E$3 * 0.01</f>
        <v>55.311985072345067</v>
      </c>
      <c r="P148" s="206">
        <f>INDEX($A$145:$H$158,MATCH($L148,$B$145:$B$158,0),MATCH($M$144,$A$145:$H$145,0))*고양시_Modal_split!F$3 * 0.01</f>
        <v>89.140756258946283</v>
      </c>
      <c r="Q148" s="206">
        <f>INDEX($A$145:$H$158,MATCH($L148,$B$145:$B$158,0),MATCH($M$144,$A$145:$H$145,0))*고양시_Modal_split!G$3 * 0.01</f>
        <v>8.9432383596761813</v>
      </c>
      <c r="R148" s="206">
        <f>INDEX($A$145:$H$158,MATCH($L148,$B$145:$B$158,0),MATCH($M$144,$A$145:$H$145,0))*고양시_Modal_split!H$3 * 0.01</f>
        <v>9.7209112605175896E-2</v>
      </c>
      <c r="S148" s="206">
        <f>INDEX($A$145:$H$158,MATCH($L148,$B$145:$B$158,0),MATCH($M$144,$A$145:$H$145,0))*고양시_Modal_split!I$3 * 0.01</f>
        <v>27.024133304238894</v>
      </c>
      <c r="T148" s="206">
        <f>INDEX($A$145:$H$158,MATCH($L148,$B$145:$B$158,0),MATCH($M$144,$A$145:$H$145,0))*고양시_Modal_split!J$3 * 0.01</f>
        <v>295.9045387701554</v>
      </c>
      <c r="U148" s="206">
        <f>INDEX($A$145:$H$158,MATCH($L148,$B$145:$B$158,0),MATCH($M$144,$A$145:$H$145,0))*고양시_Modal_split!K$3 * 0.01</f>
        <v>1.4581366890776384</v>
      </c>
      <c r="V148" s="206">
        <f>INDEX($A$145:$H$158,MATCH($L148,$B$145:$B$158,0),MATCH($M$144,$A$145:$H$145,0))*고양시_Modal_split!L$3 * 0.01</f>
        <v>29.357152006763119</v>
      </c>
      <c r="W148" s="206">
        <f>INDEX($A$145:$H$158,MATCH($L148,$B$145:$B$158,0),MATCH($M$144,$A$145:$H$145,0))*고양시_Modal_split!M$3 * 0.01</f>
        <v>2.2358095899190453</v>
      </c>
      <c r="X148" s="206">
        <f>INDEX($A$145:$H$158,MATCH($L148,$B$145:$B$158,0),MATCH($M$144,$A$145:$H$145,0))*고양시_Modal_split!N$3 * 0.01</f>
        <v>0.97209112605175896</v>
      </c>
      <c r="Y148" s="206">
        <f>INDEX($A$145:$H$158,MATCH($L148,$B$145:$B$158,0),MATCH($M$144,$A$145:$H$145,0))*고양시_Modal_split!O$3 * 0.01</f>
        <v>1.7497640268931658</v>
      </c>
      <c r="Z148" s="209">
        <f>INDEX($A$145:$H$158,MATCH($L148,$B$145:$B$158,0),MATCH($M$144,$A$145:$H$145,0))*고양시_Modal_split!P$3 * 0.01</f>
        <v>972.09112605175881</v>
      </c>
      <c r="AA148" s="207">
        <f>INDEX($A$145:$H$158,MATCH($L148,$B$145:$B$158,0),MATCH($AA$144,$A$145:$H$145,0))*고양시_Modal_split!C$3 * 0.01</f>
        <v>19.69862258362269</v>
      </c>
      <c r="AB148" s="207">
        <f>INDEX($A$145:$H$158,MATCH($L148,$B$145:$B$158,0),MATCH($AA$144,$A$145:$H$145,0))*고양시_Modal_split!D$3 * 0.01</f>
        <v>3308.6650718134829</v>
      </c>
      <c r="AC148" s="207">
        <f>INDEX($A$145:$H$158,MATCH($L148,$B$145:$B$158,0),MATCH($AA$144,$A$145:$H$145,0))*고양시_Modal_split!E$3 * 0.01</f>
        <v>400.30415178861819</v>
      </c>
      <c r="AD148" s="207">
        <f>INDEX($A$145:$H$158,MATCH($L148,$B$145:$B$158,0),MATCH($AA$144,$A$145:$H$145,0))*고양시_Modal_split!F$3 * 0.01</f>
        <v>645.12988961364306</v>
      </c>
      <c r="AE148" s="207">
        <f>INDEX($A$145:$H$158,MATCH($L148,$B$145:$B$158,0),MATCH($AA$144,$A$145:$H$145,0))*고양시_Modal_split!G$3 * 0.01</f>
        <v>64.724045631903124</v>
      </c>
      <c r="AF148" s="207">
        <f>INDEX($A$145:$H$158,MATCH($L148,$B$145:$B$158,0),MATCH($AA$144,$A$145:$H$145,0))*고양시_Modal_split!H$3 * 0.01</f>
        <v>0.70352223512938183</v>
      </c>
      <c r="AG148" s="207">
        <f>INDEX($A$145:$H$158,MATCH($L148,$B$145:$B$158,0),MATCH($AA$144,$A$145:$H$145,0))*고양시_Modal_split!I$3 * 0.01</f>
        <v>195.57918136596814</v>
      </c>
      <c r="AH148" s="207">
        <f>INDEX($A$145:$H$158,MATCH($L148,$B$145:$B$158,0),MATCH($AA$144,$A$145:$H$145,0))*고양시_Modal_split!J$3 * 0.01</f>
        <v>2141.5216837338385</v>
      </c>
      <c r="AI148" s="207">
        <f>INDEX($A$145:$H$158,MATCH($L148,$B$145:$B$158,0),MATCH($AA$144,$A$145:$H$145,0))*고양시_Modal_split!K$3 * 0.01</f>
        <v>10.552833526940727</v>
      </c>
      <c r="AJ148" s="207">
        <f>INDEX($A$145:$H$158,MATCH($L148,$B$145:$B$158,0),MATCH($AA$144,$A$145:$H$145,0))*고양시_Modal_split!L$3 * 0.01</f>
        <v>212.46371500907333</v>
      </c>
      <c r="AK148" s="207">
        <f>INDEX($A$145:$H$158,MATCH($L148,$B$145:$B$158,0),MATCH($AA$144,$A$145:$H$145,0))*고양시_Modal_split!M$3 * 0.01</f>
        <v>16.181011407975781</v>
      </c>
      <c r="AL148" s="207">
        <f>INDEX($A$145:$H$158,MATCH($L148,$B$145:$B$158,0),MATCH($AA$144,$A$145:$H$145,0))*고양시_Modal_split!N$3 * 0.01</f>
        <v>7.035222351293819</v>
      </c>
      <c r="AM148" s="207">
        <f>INDEX($A$145:$H$158,MATCH($L148,$B$145:$B$158,0),MATCH($AA$144,$A$145:$H$145,0))*고양시_Modal_split!O$3 * 0.01</f>
        <v>12.663400232328872</v>
      </c>
      <c r="AN148" s="207">
        <f>INDEX($A$145:$H$158,MATCH($L148,$B$145:$B$158,0),MATCH($AA$144,$A$145:$H$145,0))*고양시_Modal_split!P$3 * 0.01</f>
        <v>7035.2223512938181</v>
      </c>
      <c r="AO148" s="303">
        <f>INDEX($A$145:$H$158,MATCH($L148,$B$145:$B$158,0),MATCH($AO$144,$A$145:$H$145,0))*고양시_Modal_split!C$3 * 0.01</f>
        <v>1.1300612194371149</v>
      </c>
      <c r="AP148" s="303">
        <f>INDEX($A$145:$H$158,MATCH($L148,$B$145:$B$158,0),MATCH($AO$144,$A$145:$H$145,0))*고양시_Modal_split!D$3 * 0.01</f>
        <v>189.80992553616971</v>
      </c>
      <c r="AQ148" s="303">
        <f>INDEX($A$145:$H$158,MATCH($L148,$B$145:$B$158,0),MATCH($AO$144,$A$145:$H$145,0))*고양시_Modal_split!E$3 * 0.01</f>
        <v>22.964458352132802</v>
      </c>
      <c r="AR148" s="303">
        <f>INDEX($A$145:$H$158,MATCH($L148,$B$145:$B$158,0),MATCH($AO$144,$A$145:$H$145,0))*고양시_Modal_split!F$3 * 0.01</f>
        <v>37.00950493656552</v>
      </c>
      <c r="AS148" s="303">
        <f>INDEX($A$145:$H$158,MATCH($L148,$B$145:$B$158,0),MATCH($AO$144,$A$145:$H$145,0))*고양시_Modal_split!G$3 * 0.01</f>
        <v>3.7130582924362345</v>
      </c>
      <c r="AT148" s="303">
        <f>INDEX($A$145:$H$158,MATCH($L148,$B$145:$B$158,0),MATCH($AO$144,$A$145:$H$145,0))*고양시_Modal_split!H$3 * 0.01</f>
        <v>4.0359329265611255E-2</v>
      </c>
      <c r="AU148" s="303">
        <f>INDEX($A$145:$H$158,MATCH($L148,$B$145:$B$158,0),MATCH($AO$144,$A$145:$H$145,0))*고양시_Modal_split!I$3 * 0.01</f>
        <v>11.219893535839926</v>
      </c>
      <c r="AV148" s="303">
        <f>INDEX($A$145:$H$158,MATCH($L148,$B$145:$B$158,0),MATCH($AO$144,$A$145:$H$145,0))*고양시_Modal_split!J$3 * 0.01</f>
        <v>122.85379828452065</v>
      </c>
      <c r="AW148" s="303">
        <f>INDEX($A$145:$H$158,MATCH($L148,$B$145:$B$158,0),MATCH($AO$144,$A$145:$H$145,0))*고양시_Modal_split!K$3 * 0.01</f>
        <v>0.60538993898416882</v>
      </c>
      <c r="AX148" s="303">
        <f>INDEX($A$145:$H$158,MATCH($L148,$B$145:$B$158,0),MATCH($AO$144,$A$145:$H$145,0))*고양시_Modal_split!L$3 * 0.01</f>
        <v>12.1885174382146</v>
      </c>
      <c r="AY148" s="303">
        <f>INDEX($A$145:$H$158,MATCH($L148,$B$145:$B$158,0),MATCH($AO$144,$A$145:$H$145,0))*고양시_Modal_split!M$3 * 0.01</f>
        <v>0.92826457310905863</v>
      </c>
      <c r="AZ148" s="303">
        <f>INDEX($A$145:$H$158,MATCH($L148,$B$145:$B$158,0),MATCH($AO$144,$A$145:$H$145,0))*고양시_Modal_split!N$3 * 0.01</f>
        <v>0.40359329265611255</v>
      </c>
      <c r="BA148" s="207">
        <f>INDEX($A$145:$H$158,MATCH($L148,$B$145:$B$158,0),MATCH($AO$144,$A$145:$H$145,0))*고양시_Modal_split!O$3 * 0.01</f>
        <v>0.72646792678100258</v>
      </c>
      <c r="BB148" s="207">
        <f>INDEX($A$145:$H$158,MATCH($L148,$B$145:$B$158,0),MATCH($AO$144,$A$145:$H$145,0))*고양시_Modal_split!P$3 * 0.01</f>
        <v>403.59329265611257</v>
      </c>
      <c r="BC148" s="207">
        <f>INDEX($A$145:$H$158,MATCH($L148,$B$145:$B$158,0),MATCH($BC$144,$A$145:$H$145,0))*고양시_Modal_split!C$3 * 0.01</f>
        <v>1.7758950541180468E-3</v>
      </c>
      <c r="BD148" s="207">
        <f>INDEX($A$145:$H$158,MATCH($L148,$B$145:$B$158,0),MATCH($BC$144,$A$145:$H$145,0))*고양시_Modal_split!D$3 * 0.01</f>
        <v>0.29828694426847052</v>
      </c>
      <c r="BE148" s="207">
        <f>INDEX($A$145:$H$158,MATCH($L148,$B$145:$B$158,0),MATCH($BC$144,$A$145:$H$145,0))*고양시_Modal_split!E$3 * 0.01</f>
        <v>3.6088724492613168E-2</v>
      </c>
      <c r="BF148" s="207">
        <f>INDEX($A$145:$H$158,MATCH($L148,$B$145:$B$158,0),MATCH($BC$144,$A$145:$H$145,0))*고양시_Modal_split!F$3 * 0.01</f>
        <v>5.8160563022366038E-2</v>
      </c>
      <c r="BG148" s="207">
        <f>INDEX($A$145:$H$158,MATCH($L148,$B$145:$B$158,0),MATCH($BC$144,$A$145:$H$145,0))*고양시_Modal_split!G$3 * 0.01</f>
        <v>5.8350837492450102E-3</v>
      </c>
      <c r="BH148" s="207">
        <f>INDEX($A$145:$H$158,MATCH($L148,$B$145:$B$158,0),MATCH($BC$144,$A$145:$H$145,0))*고양시_Modal_split!H$3 * 0.01</f>
        <v>6.3424823361358823E-5</v>
      </c>
      <c r="BI148" s="207">
        <f>INDEX($A$145:$H$158,MATCH($L148,$B$145:$B$158,0),MATCH($BC$144,$A$145:$H$145,0))*고양시_Modal_split!I$3 * 0.01</f>
        <v>1.7632100894457749E-2</v>
      </c>
      <c r="BJ148" s="207">
        <f>INDEX($A$145:$H$158,MATCH($L148,$B$145:$B$158,0),MATCH($BC$144,$A$145:$H$145,0))*고양시_Modal_split!J$3 * 0.01</f>
        <v>0.19306516231197626</v>
      </c>
      <c r="BK148" s="207">
        <f>INDEX($A$145:$H$158,MATCH($L148,$B$145:$B$158,0),MATCH($BC$144,$A$145:$H$145,0))*고양시_Modal_split!K$3 * 0.01</f>
        <v>9.5137235042038219E-4</v>
      </c>
      <c r="BL148" s="207">
        <f>INDEX($A$145:$H$158,MATCH($L148,$B$145:$B$158,0),MATCH($BC$144,$A$145:$H$145,0))*고양시_Modal_split!L$3 * 0.01</f>
        <v>1.9154296655130364E-2</v>
      </c>
      <c r="BM148" s="207">
        <f>INDEX($A$145:$H$158,MATCH($L148,$B$145:$B$158,0),MATCH($BC$144,$A$145:$H$145,0))*고양시_Modal_split!M$3 * 0.01</f>
        <v>1.4587709373112526E-3</v>
      </c>
      <c r="BN148" s="207">
        <f>INDEX($A$145:$H$158,MATCH($L148,$B$145:$B$158,0),MATCH($BC$144,$A$145:$H$145,0))*고양시_Modal_split!N$3 * 0.01</f>
        <v>6.3424823361358823E-4</v>
      </c>
      <c r="BO148" s="207">
        <f>INDEX($A$145:$H$158,MATCH($L148,$B$145:$B$158,0),MATCH($BC$144,$A$145:$H$145,0))*고양시_Modal_split!O$3 * 0.01</f>
        <v>1.1416468205044587E-3</v>
      </c>
      <c r="BP148" s="207">
        <f>INDEX($A$145:$H$158,MATCH($L148,$B$145:$B$158,0),MATCH($BC$144,$A$145:$H$145,0))*고양시_Modal_split!P$3 * 0.01</f>
        <v>0.63424823361358817</v>
      </c>
      <c r="BQ148" s="207">
        <f>INDEX($A$145:$H$158,MATCH($L148,$B$145:$B$158,0),MATCH($BQ$144,$A$145:$H$145,0))*고양시_Modal_split!C$3 * 0.01</f>
        <v>6.7089368711126156E-3</v>
      </c>
      <c r="BR148" s="207">
        <f>INDEX($A$145:$H$158,MATCH($L148,$B$145:$B$158,0),MATCH($BQ$144,$A$145:$H$145,0))*고양시_Modal_split!D$3 * 0.01</f>
        <v>1.1268617894586654</v>
      </c>
      <c r="BS148" s="207">
        <f>INDEX($A$145:$H$158,MATCH($L148,$B$145:$B$158,0),MATCH($BQ$144,$A$145:$H$145,0))*고양시_Modal_split!E$3 * 0.01</f>
        <v>0.1363351814165385</v>
      </c>
      <c r="BT148" s="207">
        <f>INDEX($A$145:$H$158,MATCH($L148,$B$145:$B$158,0),MATCH($BQ$144,$A$145:$H$145,0))*고양시_Modal_split!F$3 * 0.01</f>
        <v>0.21971768252893817</v>
      </c>
      <c r="BU148" s="207">
        <f>INDEX($A$145:$H$158,MATCH($L148,$B$145:$B$158,0),MATCH($BQ$144,$A$145:$H$145,0))*고양시_Modal_split!G$3 * 0.01</f>
        <v>2.204364971937002E-2</v>
      </c>
      <c r="BV148" s="207">
        <f>INDEX($A$145:$H$158,MATCH($L148,$B$145:$B$158,0),MATCH($BQ$144,$A$145:$H$145,0))*고양시_Modal_split!H$3 * 0.01</f>
        <v>2.3960488825402202E-4</v>
      </c>
      <c r="BW148" s="207">
        <f>INDEX($A$145:$H$158,MATCH($L148,$B$145:$B$158,0),MATCH($BQ$144,$A$145:$H$145,0))*고양시_Modal_split!I$3 * 0.01</f>
        <v>6.6610158934618108E-2</v>
      </c>
      <c r="BX148" s="207">
        <f>INDEX($A$145:$H$158,MATCH($L148,$B$145:$B$158,0),MATCH($BQ$144,$A$145:$H$145,0))*고양시_Modal_split!J$3 * 0.01</f>
        <v>0.72935727984524312</v>
      </c>
      <c r="BY148" s="207">
        <f>INDEX($A$145:$H$158,MATCH($L148,$B$145:$B$158,0),MATCH($BQ$144,$A$145:$H$145,0))*고양시_Modal_split!K$3 * 0.01</f>
        <v>3.5940733238103303E-3</v>
      </c>
      <c r="BZ148" s="207">
        <f>INDEX($A$145:$H$158,MATCH($L148,$B$145:$B$158,0),MATCH($BQ$144,$A$145:$H$145,0))*고양시_Modal_split!L$3 * 0.01</f>
        <v>7.236067625271464E-2</v>
      </c>
      <c r="CA148" s="207">
        <f>INDEX($A$145:$H$158,MATCH($L148,$B$145:$B$158,0),MATCH($BQ$144,$A$145:$H$145,0))*고양시_Modal_split!M$3 * 0.01</f>
        <v>5.5109124298425051E-3</v>
      </c>
      <c r="CB148" s="207">
        <f>INDEX($A$145:$H$158,MATCH($L148,$B$145:$B$158,0),MATCH($BQ$144,$A$145:$H$145,0))*고양시_Modal_split!N$3 * 0.01</f>
        <v>2.3960488825402202E-3</v>
      </c>
      <c r="CC148" s="207">
        <f>INDEX($A$145:$H$158,MATCH($L148,$B$145:$B$158,0),MATCH($BQ$144,$A$145:$H$145,0))*고양시_Modal_split!O$3 * 0.01</f>
        <v>4.3128879885723963E-3</v>
      </c>
      <c r="CD148" s="207">
        <f>INDEX($A$145:$H$158,MATCH($L148,$B$145:$B$158,0),MATCH($BQ$144,$A$145:$H$145,0))*고양시_Modal_split!P$3 * 0.01</f>
        <v>2.39604888254022</v>
      </c>
      <c r="CE148" s="304">
        <f t="shared" si="84"/>
        <v>23.559023787929959</v>
      </c>
      <c r="CF148" s="304">
        <f t="shared" si="64"/>
        <v>3957.0746026655224</v>
      </c>
      <c r="CG148" s="304">
        <f t="shared" si="65"/>
        <v>478.75301911900522</v>
      </c>
      <c r="CH148" s="304">
        <f t="shared" si="66"/>
        <v>771.55802905470614</v>
      </c>
      <c r="CI148" s="304">
        <f t="shared" si="67"/>
        <v>77.408221017484152</v>
      </c>
      <c r="CJ148" s="304">
        <f t="shared" si="68"/>
        <v>0.84139370671178437</v>
      </c>
      <c r="CK148" s="304">
        <f t="shared" si="69"/>
        <v>233.90745046587602</v>
      </c>
      <c r="CL148" s="304">
        <f t="shared" si="70"/>
        <v>2561.2024432306716</v>
      </c>
      <c r="CM148" s="304">
        <f t="shared" si="71"/>
        <v>12.620905600676766</v>
      </c>
      <c r="CN148" s="304">
        <f t="shared" si="72"/>
        <v>254.1008994269589</v>
      </c>
      <c r="CO148" s="304">
        <f t="shared" si="73"/>
        <v>19.352055254371038</v>
      </c>
      <c r="CP148" s="304">
        <f t="shared" si="74"/>
        <v>8.4139370671178444</v>
      </c>
      <c r="CQ148" s="304">
        <f t="shared" si="75"/>
        <v>15.145086720812118</v>
      </c>
      <c r="CR148" s="304">
        <f t="shared" si="76"/>
        <v>8413.9370671178422</v>
      </c>
      <c r="CS148" s="305">
        <f t="shared" si="85"/>
        <v>0</v>
      </c>
      <c r="CV148" s="265"/>
      <c r="CW148" s="265" t="s">
        <v>669</v>
      </c>
      <c r="CX148" s="267">
        <f>INDEX($M$144:$Z$158,MATCH($CW148,$L$144:$L$158,0),MATCH(CX$145,$M$145:$Z$145,0))/INDEX(고양시_재차인원!$D$4:$H$35,MATCH("고양시",고양시_재차인원!$B$4:$B$35,0),MATCH($CX$144,고양시_재차인원!$D$4:$H$4,0))</f>
        <v>408.19147909119835</v>
      </c>
      <c r="CY148" s="267">
        <f>INDEX($M$144:$Z$158,MATCH($CW148,$L$144:$L$158,0),MATCH(CY$145,$M$145:$Z$145,0))/INDEX(고양시_재차인원!$K$4:$O$20,MATCH("경기도",고양시_재차인원!$K$4:$K$20,0),MATCH(CY$145,고양시_재차인원!$K$4:$O$4,0))</f>
        <v>3.3764888018470267E-3</v>
      </c>
      <c r="CZ148" s="267">
        <f>INDEX($M$144:$Z$158,MATCH($CW148,$L$144:$L$158,0),MATCH(CZ$145,$M$145:$Z$145,0))/INDEX(고양시_재차인원!$K$4:$O$20,MATCH("경기도",고양시_재차인원!$K$4:$K$20,0),MATCH(CZ$145,고양시_재차인원!$K$4:$O$4,0))</f>
        <v>0.93866388691347324</v>
      </c>
      <c r="DA148" s="267">
        <f>INDEX($M$144:$Z$158,MATCH($CW148,$L$144:$L$158,0),MATCH(DA$145,$M$145:$Z$145,0))/INDEX(고양시_재차인원!$D$4:$H$35,MATCH("고양시",고양시_재차인원!$B$4:$B$35,0),MATCH($CX$144,고양시_재차인원!$D$4:$H$4,0))</f>
        <v>26.211742863181353</v>
      </c>
      <c r="DB148" s="267">
        <f>INDEX($AA$144:$AN$158,MATCH($CW148,$L$144:$L$158,0),MATCH(DB$145,$AA$145:$AN$145,0))/INDEX(고양시_재차인원!$D$4:$H$35,MATCH("고양시",고양시_재차인원!$B$4:$B$35,0),MATCH($DB$144,고양시_재차인원!$D$4:$H$4,0))</f>
        <v>2346.5709729173641</v>
      </c>
      <c r="DC148" s="267">
        <f>INDEX($AA$144:$AN$158,MATCH($CW148,$L$144:$L$158,0),MATCH(DC$145,$AA$145:$AN$145,0))/INDEX(고양시_재차인원!$K$4:$O$20,MATCH("경기도",고양시_재차인원!$K$4:$K$20,0),MATCH(DC$145,고양시_재차인원!$K$4:$O$4,0))</f>
        <v>2.4436340226793394E-2</v>
      </c>
      <c r="DD148" s="267">
        <f>INDEX($AA$144:$AN$158,MATCH($CW148,$L$144:$L$158,0),MATCH(DD$145,$AA$145:$AN$145,0))/INDEX(고양시_재차인원!$K$4:$O$20,MATCH("경기도",고양시_재차인원!$K$4:$K$20,0),MATCH(DD$145,고양시_재차인원!$K$4:$O$4,0))</f>
        <v>6.7933025830485638</v>
      </c>
      <c r="DE148" s="267">
        <f>INDEX($AA$144:$AN$158,MATCH($CW148,$L$144:$L$158,0),MATCH(DE$145,$AA$145:$AN$145,0))/INDEX(고양시_재차인원!$D$4:$H$35,MATCH("고양시",고양시_재차인원!$B$4:$B$35,0),MATCH($DB$144,고양시_재차인원!$D$4:$H$4,0))</f>
        <v>150.68348582203782</v>
      </c>
      <c r="DF148" s="267">
        <f>INDEX($AO$144:$BB$158,MATCH($CW148,$L$144:$L$158,0),MATCH(DF$145,$AO$145:$BB$145,0))/INDEX(고양시_재차인원!$D$4:$H$35,MATCH("고양시",고양시_재차인원!$B$4:$B$35,0),MATCH($DF$144,고양시_재차인원!$D$4:$H$4,0))</f>
        <v>146.00763502782286</v>
      </c>
      <c r="DG148" s="267">
        <f>INDEX($AO$144:$BB$158,MATCH($CW148,$L$144:$L$158,0),MATCH(DG$145,$AO$145:$BB$145,0))/INDEX(고양시_재차인원!$K$4:$O$20,MATCH("경기도",고양시_재차인원!$K$4:$K$20,0),MATCH(DG$145,고양시_재차인원!$K$4:$O$4,0))</f>
        <v>1.4018523537899011E-3</v>
      </c>
      <c r="DH148" s="267">
        <f>INDEX($AO$144:$BB$158,MATCH($CW148,$L$144:$L$158,0),MATCH(DH$145,$AO$145:$BB$145,0))/INDEX(고양시_재차인원!$K$4:$O$20,MATCH("경기도",고양시_재차인원!$K$4:$K$20,0),MATCH(DH$145,고양시_재차인원!$K$4:$O$4,0))</f>
        <v>0.38971495435359244</v>
      </c>
      <c r="DI148" s="267">
        <f>INDEX($AO$144:$BB$158,MATCH($CW148,$L$144:$L$158,0),MATCH(DI$145,$AO$145:$BB$145,0))/INDEX(고양시_재차인원!$D$4:$H$35,MATCH("고양시",고양시_재차인원!$B$4:$B$35,0),MATCH($DF$144,고양시_재차인원!$D$4:$H$4,0))</f>
        <v>9.3757826447804611</v>
      </c>
      <c r="DJ148" s="267">
        <f>INDEX($BC$144:$BP$158,MATCH($CW148,$L$144:$L$158,0),MATCH(DJ$145,$BC$145:$BP$145,0))/INDEX(고양시_재차인원!$D$4:$H$35,MATCH("고양시",고양시_재차인원!$B$4:$B$35,0),MATCH($DJ$144,고양시_재차인원!$D$4:$H$4,0))</f>
        <v>0.21932863549152243</v>
      </c>
      <c r="DK148" s="267">
        <f>INDEX($BC$144:$BP$158,MATCH($CW148,$L$144:$L$158,0),MATCH(DK$145,$BC$145:$BP$145,0))/INDEX(고양시_재차인원!$K$4:$O$20,MATCH("경기도",고양시_재차인원!$K$4:$K$20,0),MATCH(DK$145,고양시_재차인원!$K$4:$O$4,0))</f>
        <v>2.2030157471816195E-6</v>
      </c>
      <c r="DL148" s="267">
        <f>INDEX($BC$144:$BP$158,MATCH($CW148,$L$144:$L$158,0),MATCH(DL$145,$BC$145:$BP$145,0))/INDEX(고양시_재차인원!$K$4:$O$20,MATCH("경기도",고양시_재차인원!$K$4:$K$20,0),MATCH(DL$145,고양시_재차인원!$K$4:$O$4,0))</f>
        <v>6.1243837771649012E-4</v>
      </c>
      <c r="DM148" s="267">
        <f>INDEX($BC$144:$BP$158,MATCH($CW148,$L$144:$L$158,0),MATCH(DM$145,$BC$145:$BP$145,0))/INDEX(고양시_재차인원!$D$4:$H$35,MATCH("고양시",고양시_재차인원!$B$4:$B$35,0),MATCH($DJ$144,고양시_재차인원!$D$4:$H$4,0))</f>
        <v>1.4084041658184091E-2</v>
      </c>
      <c r="DN148" s="267">
        <f>INDEX($BQ$144:$CD$158,MATCH($CW148,$L$144:$L$158,0),MATCH(DN$145,$BQ$145:$CD$145,0))/INDEX(고양시_재차인원!$D$4:$H$35,MATCH("고양시",고양시_재차인원!$B$4:$B$35,0),MATCH($DN$144,고양시_재차인원!$D$4:$H$4,0))</f>
        <v>0.89433475353862335</v>
      </c>
      <c r="DO148" s="267">
        <f>INDEX($BQ$144:$CD$158,MATCH($CW148,$L$144:$L$158,0),MATCH(DO$145,$BQ$145:$CD$145,0))/INDEX(고양시_재차인원!$K$4:$O$20,MATCH("경기도",고양시_재차인원!$K$4:$K$20,0),MATCH(DO$145,고양시_재차인원!$K$4:$O$4,0))</f>
        <v>8.3225039337972225E-6</v>
      </c>
      <c r="DP148" s="267">
        <f>INDEX($BQ$144:$CD$158,MATCH($CW148,$L$144:$L$158,0),MATCH(DP$145,$BQ$145:$CD$145,0))/INDEX(고양시_재차인원!$K$4:$O$20,MATCH("경기도",고양시_재차인원!$K$4:$K$20,0),MATCH(DP$145,고양시_재차인원!$K$4:$O$4,0))</f>
        <v>2.3136560935956272E-3</v>
      </c>
      <c r="DQ148" s="267">
        <f>INDEX($BQ$144:$CD$158,MATCH($CW148,$L$144:$L$158,0),MATCH(DQ$145,$BQ$145:$CD$145,0))/INDEX(고양시_재차인원!$D$4:$H$35,MATCH("고양시",고양시_재차인원!$B$4:$B$35,0),MATCH($DN$144,고양시_재차인원!$D$4:$H$4,0))</f>
        <v>5.7429108137075108E-2</v>
      </c>
      <c r="DR148" s="270">
        <f t="shared" si="86"/>
        <v>2901.8837504254152</v>
      </c>
      <c r="DS148" s="270">
        <f t="shared" si="77"/>
        <v>2.9225206902111299E-2</v>
      </c>
      <c r="DT148" s="270">
        <f t="shared" si="78"/>
        <v>8.1246075187869433</v>
      </c>
      <c r="DU148" s="270">
        <f t="shared" si="79"/>
        <v>186.34252447979489</v>
      </c>
      <c r="DW148" s="278"/>
      <c r="DX148" s="278" t="s">
        <v>669</v>
      </c>
      <c r="DY148" s="281">
        <f t="shared" si="87"/>
        <v>3088.2262749052102</v>
      </c>
      <c r="DZ148" s="281">
        <f t="shared" si="88"/>
        <v>8.153832725689055</v>
      </c>
      <c r="EB148" s="278"/>
      <c r="EC148" s="278" t="s">
        <v>669</v>
      </c>
      <c r="ED148" s="281">
        <f t="shared" si="89"/>
        <v>3088.2262749052102</v>
      </c>
      <c r="EE148" s="281">
        <f t="shared" si="80"/>
        <v>8.153832725689055</v>
      </c>
      <c r="EL148" s="306" t="s">
        <v>12</v>
      </c>
      <c r="EM148" s="306" t="s">
        <v>359</v>
      </c>
      <c r="EN148" s="306">
        <v>5055.2204000000002</v>
      </c>
      <c r="EO148" s="306">
        <v>7.5479196375319413E-2</v>
      </c>
      <c r="EP148" s="307">
        <v>849103</v>
      </c>
      <c r="EQ148" s="308">
        <f t="shared" si="90"/>
        <v>14.239611961433868</v>
      </c>
      <c r="ER148" s="308">
        <f t="shared" si="91"/>
        <v>3.7596796243765052E-2</v>
      </c>
      <c r="ET148" s="420" t="s">
        <v>12</v>
      </c>
      <c r="EU148" s="420" t="s">
        <v>359</v>
      </c>
      <c r="EV148" s="420">
        <v>5055.2204000000002</v>
      </c>
      <c r="EW148" s="420">
        <v>7.5479196375319413E-2</v>
      </c>
      <c r="EX148" s="421">
        <v>849103</v>
      </c>
      <c r="EY148" s="422">
        <f t="shared" si="92"/>
        <v>13.833783020533003</v>
      </c>
      <c r="EZ148" s="422">
        <f t="shared" si="81"/>
        <v>3.6525287550817749E-2</v>
      </c>
      <c r="FA148">
        <v>0</v>
      </c>
      <c r="FD148" s="306" t="s">
        <v>12</v>
      </c>
      <c r="FE148" s="306" t="s">
        <v>359</v>
      </c>
      <c r="FF148" s="306">
        <v>5055.2204000000002</v>
      </c>
      <c r="FG148" s="306">
        <v>7.5479196375319413E-2</v>
      </c>
      <c r="FH148" s="307">
        <v>849103</v>
      </c>
      <c r="FI148" s="308">
        <f t="shared" si="82"/>
        <v>13.833783020533003</v>
      </c>
      <c r="FJ148" s="308">
        <f t="shared" si="83"/>
        <v>3.6525287550817749E-2</v>
      </c>
      <c r="FL148" s="101"/>
      <c r="FM148" s="101"/>
      <c r="FN148" s="101"/>
      <c r="FO148" s="101"/>
      <c r="FP148" s="374"/>
      <c r="FQ148" s="404"/>
      <c r="FR148" s="404"/>
    </row>
    <row r="149" spans="1:174" ht="25">
      <c r="A149" s="205"/>
      <c r="B149" s="205" t="s">
        <v>671</v>
      </c>
      <c r="C149" s="400">
        <f>$AB64*KTDB_TripDistribution_2045!T$12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156.314481358237</v>
      </c>
      <c r="D149" s="400">
        <f>$AB64*KTDB_TripDistribution_2045!U$12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1131.2798806722326</v>
      </c>
      <c r="E149" s="400">
        <f>$AB64*KTDB_TripDistribution_2045!V$12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64.898726601321002</v>
      </c>
      <c r="F149" s="400">
        <f>$AB64*KTDB_TripDistribution_2045!W$12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0.10198856982921078</v>
      </c>
      <c r="G149" s="400">
        <f>$AB64*KTDB_TripDistribution_2045!X$12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0.38529015268812938</v>
      </c>
      <c r="H149" s="400">
        <f>$AB64*KTDB_TripDistribution_2045!Y$12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1352.9803673543081</v>
      </c>
      <c r="J149" s="230">
        <f t="shared" si="63"/>
        <v>1352.9803673543081</v>
      </c>
      <c r="K149" s="206"/>
      <c r="L149" s="206" t="s">
        <v>671</v>
      </c>
      <c r="M149" s="206">
        <f>INDEX($A$145:$H$158,MATCH($L149,$B$145:$B$158,0),MATCH($M$144,$A$145:$H$145,0))*고양시_Modal_split!C$3 * 0.01</f>
        <v>0.43768054780306359</v>
      </c>
      <c r="N149" s="206">
        <f>INDEX($A$145:$H$158,MATCH($L149,$B$145:$B$158,0),MATCH($M$144,$A$145:$H$145,0))*고양시_Modal_split!D$3 * 0.01</f>
        <v>73.514700582778872</v>
      </c>
      <c r="O149" s="206">
        <f>INDEX($A$145:$H$158,MATCH($L149,$B$145:$B$158,0),MATCH($M$144,$A$145:$H$145,0))*고양시_Modal_split!E$3 * 0.01</f>
        <v>8.8942939892836854</v>
      </c>
      <c r="P149" s="206">
        <f>INDEX($A$145:$H$158,MATCH($L149,$B$145:$B$158,0),MATCH($M$144,$A$145:$H$145,0))*고양시_Modal_split!F$3 * 0.01</f>
        <v>14.334037940550333</v>
      </c>
      <c r="Q149" s="206">
        <f>INDEX($A$145:$H$158,MATCH($L149,$B$145:$B$158,0),MATCH($M$144,$A$145:$H$145,0))*고양시_Modal_split!G$3 * 0.01</f>
        <v>1.4380932284957804</v>
      </c>
      <c r="R149" s="206">
        <f>INDEX($A$145:$H$158,MATCH($L149,$B$145:$B$158,0),MATCH($M$144,$A$145:$H$145,0))*고양시_Modal_split!H$3 * 0.01</f>
        <v>1.5631448135823699E-2</v>
      </c>
      <c r="S149" s="206">
        <f>INDEX($A$145:$H$158,MATCH($L149,$B$145:$B$158,0),MATCH($M$144,$A$145:$H$145,0))*고양시_Modal_split!I$3 * 0.01</f>
        <v>4.3455425817589886</v>
      </c>
      <c r="T149" s="206">
        <f>INDEX($A$145:$H$158,MATCH($L149,$B$145:$B$158,0),MATCH($M$144,$A$145:$H$145,0))*고양시_Modal_split!J$3 * 0.01</f>
        <v>47.582128125447348</v>
      </c>
      <c r="U149" s="206">
        <f>INDEX($A$145:$H$158,MATCH($L149,$B$145:$B$158,0),MATCH($M$144,$A$145:$H$145,0))*고양시_Modal_split!K$3 * 0.01</f>
        <v>0.23447172203735553</v>
      </c>
      <c r="V149" s="206">
        <f>INDEX($A$145:$H$158,MATCH($L149,$B$145:$B$158,0),MATCH($M$144,$A$145:$H$145,0))*고양시_Modal_split!L$3 * 0.01</f>
        <v>4.7206973370187573</v>
      </c>
      <c r="W149" s="206">
        <f>INDEX($A$145:$H$158,MATCH($L149,$B$145:$B$158,0),MATCH($M$144,$A$145:$H$145,0))*고양시_Modal_split!M$3 * 0.01</f>
        <v>0.35952330712394509</v>
      </c>
      <c r="X149" s="206">
        <f>INDEX($A$145:$H$158,MATCH($L149,$B$145:$B$158,0),MATCH($M$144,$A$145:$H$145,0))*고양시_Modal_split!N$3 * 0.01</f>
        <v>0.15631448135823703</v>
      </c>
      <c r="Y149" s="206">
        <f>INDEX($A$145:$H$158,MATCH($L149,$B$145:$B$158,0),MATCH($M$144,$A$145:$H$145,0))*고양시_Modal_split!O$3 * 0.01</f>
        <v>0.28136606644482659</v>
      </c>
      <c r="Z149" s="209">
        <f>INDEX($A$145:$H$158,MATCH($L149,$B$145:$B$158,0),MATCH($M$144,$A$145:$H$145,0))*고양시_Modal_split!P$3 * 0.01</f>
        <v>156.314481358237</v>
      </c>
      <c r="AA149" s="207">
        <f>INDEX($A$145:$H$158,MATCH($L149,$B$145:$B$158,0),MATCH($AA$144,$A$145:$H$145,0))*고양시_Modal_split!C$3 * 0.01</f>
        <v>3.1675836658822512</v>
      </c>
      <c r="AB149" s="207">
        <f>INDEX($A$145:$H$158,MATCH($L149,$B$145:$B$158,0),MATCH($AA$144,$A$145:$H$145,0))*고양시_Modal_split!D$3 * 0.01</f>
        <v>532.040927880151</v>
      </c>
      <c r="AC149" s="207">
        <f>INDEX($A$145:$H$158,MATCH($L149,$B$145:$B$158,0),MATCH($AA$144,$A$145:$H$145,0))*고양시_Modal_split!E$3 * 0.01</f>
        <v>64.369825210250028</v>
      </c>
      <c r="AD149" s="207">
        <f>INDEX($A$145:$H$158,MATCH($L149,$B$145:$B$158,0),MATCH($AA$144,$A$145:$H$145,0))*고양시_Modal_split!F$3 * 0.01</f>
        <v>103.73836505764373</v>
      </c>
      <c r="AE149" s="207">
        <f>INDEX($A$145:$H$158,MATCH($L149,$B$145:$B$158,0),MATCH($AA$144,$A$145:$H$145,0))*고양시_Modal_split!G$3 * 0.01</f>
        <v>10.40777490218454</v>
      </c>
      <c r="AF149" s="207">
        <f>INDEX($A$145:$H$158,MATCH($L149,$B$145:$B$158,0),MATCH($AA$144,$A$145:$H$145,0))*고양시_Modal_split!H$3 * 0.01</f>
        <v>0.11312798806722325</v>
      </c>
      <c r="AG149" s="207">
        <f>INDEX($A$145:$H$158,MATCH($L149,$B$145:$B$158,0),MATCH($AA$144,$A$145:$H$145,0))*고양시_Modal_split!I$3 * 0.01</f>
        <v>31.449580682688065</v>
      </c>
      <c r="AH149" s="207">
        <f>INDEX($A$145:$H$158,MATCH($L149,$B$145:$B$158,0),MATCH($AA$144,$A$145:$H$145,0))*고양시_Modal_split!J$3 * 0.01</f>
        <v>344.36159567662764</v>
      </c>
      <c r="AI149" s="207">
        <f>INDEX($A$145:$H$158,MATCH($L149,$B$145:$B$158,0),MATCH($AA$144,$A$145:$H$145,0))*고양시_Modal_split!K$3 * 0.01</f>
        <v>1.6969198210083487</v>
      </c>
      <c r="AJ149" s="207">
        <f>INDEX($A$145:$H$158,MATCH($L149,$B$145:$B$158,0),MATCH($AA$144,$A$145:$H$145,0))*고양시_Modal_split!L$3 * 0.01</f>
        <v>34.164652396301427</v>
      </c>
      <c r="AK149" s="207">
        <f>INDEX($A$145:$H$158,MATCH($L149,$B$145:$B$158,0),MATCH($AA$144,$A$145:$H$145,0))*고양시_Modal_split!M$3 * 0.01</f>
        <v>2.6019437255461351</v>
      </c>
      <c r="AL149" s="207">
        <f>INDEX($A$145:$H$158,MATCH($L149,$B$145:$B$158,0),MATCH($AA$144,$A$145:$H$145,0))*고양시_Modal_split!N$3 * 0.01</f>
        <v>1.1312798806722328</v>
      </c>
      <c r="AM149" s="207">
        <f>INDEX($A$145:$H$158,MATCH($L149,$B$145:$B$158,0),MATCH($AA$144,$A$145:$H$145,0))*고양시_Modal_split!O$3 * 0.01</f>
        <v>2.0363037852100185</v>
      </c>
      <c r="AN149" s="207">
        <f>INDEX($A$145:$H$158,MATCH($L149,$B$145:$B$158,0),MATCH($AA$144,$A$145:$H$145,0))*고양시_Modal_split!P$3 * 0.01</f>
        <v>1131.2798806722326</v>
      </c>
      <c r="AO149" s="303">
        <f>INDEX($A$145:$H$158,MATCH($L149,$B$145:$B$158,0),MATCH($AO$144,$A$145:$H$145,0))*고양시_Modal_split!C$3 * 0.01</f>
        <v>0.18171643448369879</v>
      </c>
      <c r="AP149" s="303">
        <f>INDEX($A$145:$H$158,MATCH($L149,$B$145:$B$158,0),MATCH($AO$144,$A$145:$H$145,0))*고양시_Modal_split!D$3 * 0.01</f>
        <v>30.521871120601269</v>
      </c>
      <c r="AQ149" s="303">
        <f>INDEX($A$145:$H$158,MATCH($L149,$B$145:$B$158,0),MATCH($AO$144,$A$145:$H$145,0))*고양시_Modal_split!E$3 * 0.01</f>
        <v>3.6927375436151646</v>
      </c>
      <c r="AR149" s="303">
        <f>INDEX($A$145:$H$158,MATCH($L149,$B$145:$B$158,0),MATCH($AO$144,$A$145:$H$145,0))*고양시_Modal_split!F$3 * 0.01</f>
        <v>5.9512132293411355</v>
      </c>
      <c r="AS149" s="303">
        <f>INDEX($A$145:$H$158,MATCH($L149,$B$145:$B$158,0),MATCH($AO$144,$A$145:$H$145,0))*고양시_Modal_split!G$3 * 0.01</f>
        <v>0.59706828473215323</v>
      </c>
      <c r="AT149" s="303">
        <f>INDEX($A$145:$H$158,MATCH($L149,$B$145:$B$158,0),MATCH($AO$144,$A$145:$H$145,0))*고양시_Modal_split!H$3 * 0.01</f>
        <v>6.4898726601320999E-3</v>
      </c>
      <c r="AU149" s="303">
        <f>INDEX($A$145:$H$158,MATCH($L149,$B$145:$B$158,0),MATCH($AO$144,$A$145:$H$145,0))*고양시_Modal_split!I$3 * 0.01</f>
        <v>1.8041845995167236</v>
      </c>
      <c r="AV149" s="303">
        <f>INDEX($A$145:$H$158,MATCH($L149,$B$145:$B$158,0),MATCH($AO$144,$A$145:$H$145,0))*고양시_Modal_split!J$3 * 0.01</f>
        <v>19.755172377442115</v>
      </c>
      <c r="AW149" s="303">
        <f>INDEX($A$145:$H$158,MATCH($L149,$B$145:$B$158,0),MATCH($AO$144,$A$145:$H$145,0))*고양시_Modal_split!K$3 * 0.01</f>
        <v>9.7348089901981502E-2</v>
      </c>
      <c r="AX149" s="303">
        <f>INDEX($A$145:$H$158,MATCH($L149,$B$145:$B$158,0),MATCH($AO$144,$A$145:$H$145,0))*고양시_Modal_split!L$3 * 0.01</f>
        <v>1.9599415433598943</v>
      </c>
      <c r="AY149" s="303">
        <f>INDEX($A$145:$H$158,MATCH($L149,$B$145:$B$158,0),MATCH($AO$144,$A$145:$H$145,0))*고양시_Modal_split!M$3 * 0.01</f>
        <v>0.14926707118303831</v>
      </c>
      <c r="AZ149" s="303">
        <f>INDEX($A$145:$H$158,MATCH($L149,$B$145:$B$158,0),MATCH($AO$144,$A$145:$H$145,0))*고양시_Modal_split!N$3 * 0.01</f>
        <v>6.4898726601320997E-2</v>
      </c>
      <c r="BA149" s="207">
        <f>INDEX($A$145:$H$158,MATCH($L149,$B$145:$B$158,0),MATCH($AO$144,$A$145:$H$145,0))*고양시_Modal_split!O$3 * 0.01</f>
        <v>0.11681770788237779</v>
      </c>
      <c r="BB149" s="207">
        <f>INDEX($A$145:$H$158,MATCH($L149,$B$145:$B$158,0),MATCH($AO$144,$A$145:$H$145,0))*고양시_Modal_split!P$3 * 0.01</f>
        <v>64.898726601321002</v>
      </c>
      <c r="BC149" s="207">
        <f>INDEX($A$145:$H$158,MATCH($L149,$B$145:$B$158,0),MATCH($BC$144,$A$145:$H$145,0))*고양시_Modal_split!C$3 * 0.01</f>
        <v>2.8556799552179014E-4</v>
      </c>
      <c r="BD149" s="207">
        <f>INDEX($A$145:$H$158,MATCH($L149,$B$145:$B$158,0),MATCH($BC$144,$A$145:$H$145,0))*고양시_Modal_split!D$3 * 0.01</f>
        <v>4.7965224390677838E-2</v>
      </c>
      <c r="BE149" s="207">
        <f>INDEX($A$145:$H$158,MATCH($L149,$B$145:$B$158,0),MATCH($BC$144,$A$145:$H$145,0))*고양시_Modal_split!E$3 * 0.01</f>
        <v>5.8031496232820931E-3</v>
      </c>
      <c r="BF149" s="207">
        <f>INDEX($A$145:$H$158,MATCH($L149,$B$145:$B$158,0),MATCH($BC$144,$A$145:$H$145,0))*고양시_Modal_split!F$3 * 0.01</f>
        <v>9.352351853338629E-3</v>
      </c>
      <c r="BG149" s="207">
        <f>INDEX($A$145:$H$158,MATCH($L149,$B$145:$B$158,0),MATCH($BC$144,$A$145:$H$145,0))*고양시_Modal_split!G$3 * 0.01</f>
        <v>9.3829484242873918E-4</v>
      </c>
      <c r="BH149" s="207">
        <f>INDEX($A$145:$H$158,MATCH($L149,$B$145:$B$158,0),MATCH($BC$144,$A$145:$H$145,0))*고양시_Modal_split!H$3 * 0.01</f>
        <v>1.0198856982921079E-5</v>
      </c>
      <c r="BI149" s="207">
        <f>INDEX($A$145:$H$158,MATCH($L149,$B$145:$B$158,0),MATCH($BC$144,$A$145:$H$145,0))*고양시_Modal_split!I$3 * 0.01</f>
        <v>2.8352822412520597E-3</v>
      </c>
      <c r="BJ149" s="207">
        <f>INDEX($A$145:$H$158,MATCH($L149,$B$145:$B$158,0),MATCH($BC$144,$A$145:$H$145,0))*고양시_Modal_split!J$3 * 0.01</f>
        <v>3.1045320656011764E-2</v>
      </c>
      <c r="BK149" s="207">
        <f>INDEX($A$145:$H$158,MATCH($L149,$B$145:$B$158,0),MATCH($BC$144,$A$145:$H$145,0))*고양시_Modal_split!K$3 * 0.01</f>
        <v>1.5298285474381616E-4</v>
      </c>
      <c r="BL149" s="207">
        <f>INDEX($A$145:$H$158,MATCH($L149,$B$145:$B$158,0),MATCH($BC$144,$A$145:$H$145,0))*고양시_Modal_split!L$3 * 0.01</f>
        <v>3.080054808842166E-3</v>
      </c>
      <c r="BM149" s="207">
        <f>INDEX($A$145:$H$158,MATCH($L149,$B$145:$B$158,0),MATCH($BC$144,$A$145:$H$145,0))*고양시_Modal_split!M$3 * 0.01</f>
        <v>2.3457371060718479E-4</v>
      </c>
      <c r="BN149" s="207">
        <f>INDEX($A$145:$H$158,MATCH($L149,$B$145:$B$158,0),MATCH($BC$144,$A$145:$H$145,0))*고양시_Modal_split!N$3 * 0.01</f>
        <v>1.0198856982921079E-4</v>
      </c>
      <c r="BO149" s="207">
        <f>INDEX($A$145:$H$158,MATCH($L149,$B$145:$B$158,0),MATCH($BC$144,$A$145:$H$145,0))*고양시_Modal_split!O$3 * 0.01</f>
        <v>1.8357942569257942E-4</v>
      </c>
      <c r="BP149" s="207">
        <f>INDEX($A$145:$H$158,MATCH($L149,$B$145:$B$158,0),MATCH($BC$144,$A$145:$H$145,0))*고양시_Modal_split!P$3 * 0.01</f>
        <v>0.10198856982921078</v>
      </c>
      <c r="BQ149" s="207">
        <f>INDEX($A$145:$H$158,MATCH($L149,$B$145:$B$158,0),MATCH($BQ$144,$A$145:$H$145,0))*고양시_Modal_split!C$3 * 0.01</f>
        <v>1.0788124275267622E-3</v>
      </c>
      <c r="BR149" s="207">
        <f>INDEX($A$145:$H$158,MATCH($L149,$B$145:$B$158,0),MATCH($BQ$144,$A$145:$H$145,0))*고양시_Modal_split!D$3 * 0.01</f>
        <v>0.18120195880922726</v>
      </c>
      <c r="BS149" s="207">
        <f>INDEX($A$145:$H$158,MATCH($L149,$B$145:$B$158,0),MATCH($BQ$144,$A$145:$H$145,0))*고양시_Modal_split!E$3 * 0.01</f>
        <v>2.1923009687954562E-2</v>
      </c>
      <c r="BT149" s="207">
        <f>INDEX($A$145:$H$158,MATCH($L149,$B$145:$B$158,0),MATCH($BQ$144,$A$145:$H$145,0))*고양시_Modal_split!F$3 * 0.01</f>
        <v>3.5331107001501466E-2</v>
      </c>
      <c r="BU149" s="207">
        <f>INDEX($A$145:$H$158,MATCH($L149,$B$145:$B$158,0),MATCH($BQ$144,$A$145:$H$145,0))*고양시_Modal_split!G$3 * 0.01</f>
        <v>3.5446694047307904E-3</v>
      </c>
      <c r="BV149" s="207">
        <f>INDEX($A$145:$H$158,MATCH($L149,$B$145:$B$158,0),MATCH($BQ$144,$A$145:$H$145,0))*고양시_Modal_split!H$3 * 0.01</f>
        <v>3.8529015268812937E-5</v>
      </c>
      <c r="BW149" s="207">
        <f>INDEX($A$145:$H$158,MATCH($L149,$B$145:$B$158,0),MATCH($BQ$144,$A$145:$H$145,0))*고양시_Modal_split!I$3 * 0.01</f>
        <v>1.0711066244729997E-2</v>
      </c>
      <c r="BX149" s="207">
        <f>INDEX($A$145:$H$158,MATCH($L149,$B$145:$B$158,0),MATCH($BQ$144,$A$145:$H$145,0))*고양시_Modal_split!J$3 * 0.01</f>
        <v>0.11728232247826659</v>
      </c>
      <c r="BY149" s="207">
        <f>INDEX($A$145:$H$158,MATCH($L149,$B$145:$B$158,0),MATCH($BQ$144,$A$145:$H$145,0))*고양시_Modal_split!K$3 * 0.01</f>
        <v>5.7793522903219405E-4</v>
      </c>
      <c r="BZ149" s="207">
        <f>INDEX($A$145:$H$158,MATCH($L149,$B$145:$B$158,0),MATCH($BQ$144,$A$145:$H$145,0))*고양시_Modal_split!L$3 * 0.01</f>
        <v>1.1635762611181509E-2</v>
      </c>
      <c r="CA149" s="207">
        <f>INDEX($A$145:$H$158,MATCH($L149,$B$145:$B$158,0),MATCH($BQ$144,$A$145:$H$145,0))*고양시_Modal_split!M$3 * 0.01</f>
        <v>8.861673511826976E-4</v>
      </c>
      <c r="CB149" s="207">
        <f>INDEX($A$145:$H$158,MATCH($L149,$B$145:$B$158,0),MATCH($BQ$144,$A$145:$H$145,0))*고양시_Modal_split!N$3 * 0.01</f>
        <v>3.8529015268812944E-4</v>
      </c>
      <c r="CC149" s="207">
        <f>INDEX($A$145:$H$158,MATCH($L149,$B$145:$B$158,0),MATCH($BQ$144,$A$145:$H$145,0))*고양시_Modal_split!O$3 * 0.01</f>
        <v>6.9352227483863288E-4</v>
      </c>
      <c r="CD149" s="207">
        <f>INDEX($A$145:$H$158,MATCH($L149,$B$145:$B$158,0),MATCH($BQ$144,$A$145:$H$145,0))*고양시_Modal_split!P$3 * 0.01</f>
        <v>0.38529015268812944</v>
      </c>
      <c r="CE149" s="304">
        <f t="shared" si="84"/>
        <v>3.7883450285920617</v>
      </c>
      <c r="CF149" s="304">
        <f t="shared" si="64"/>
        <v>636.30666676673104</v>
      </c>
      <c r="CG149" s="304">
        <f t="shared" si="65"/>
        <v>76.984582902460104</v>
      </c>
      <c r="CH149" s="304">
        <f t="shared" si="66"/>
        <v>124.06829968639003</v>
      </c>
      <c r="CI149" s="304">
        <f t="shared" si="67"/>
        <v>12.447419379659634</v>
      </c>
      <c r="CJ149" s="304">
        <f t="shared" si="68"/>
        <v>0.13529803673543078</v>
      </c>
      <c r="CK149" s="304">
        <f t="shared" si="69"/>
        <v>37.612854212449761</v>
      </c>
      <c r="CL149" s="304">
        <f t="shared" si="70"/>
        <v>411.84722382265142</v>
      </c>
      <c r="CM149" s="304">
        <f t="shared" si="71"/>
        <v>2.0294705510314617</v>
      </c>
      <c r="CN149" s="304">
        <f t="shared" si="72"/>
        <v>40.860007094100105</v>
      </c>
      <c r="CO149" s="304">
        <f t="shared" si="73"/>
        <v>3.1118548449149084</v>
      </c>
      <c r="CP149" s="304">
        <f t="shared" si="74"/>
        <v>1.3529803673543084</v>
      </c>
      <c r="CQ149" s="304">
        <f t="shared" si="75"/>
        <v>2.4353646612377542</v>
      </c>
      <c r="CR149" s="304">
        <f t="shared" si="76"/>
        <v>1352.9803673543081</v>
      </c>
      <c r="CS149" s="305">
        <f t="shared" si="85"/>
        <v>0</v>
      </c>
      <c r="CV149" s="265"/>
      <c r="CW149" s="265" t="s">
        <v>671</v>
      </c>
      <c r="CX149" s="267">
        <f>INDEX($M$144:$Z$158,MATCH($CW149,$L$144:$L$158,0),MATCH(CX$145,$M$145:$Z$145,0))/INDEX(고양시_재차인원!$D$4:$H$35,MATCH("고양시",고양시_재차인원!$B$4:$B$35,0),MATCH($CX$144,고양시_재차인원!$D$4:$H$4,0))</f>
        <v>65.638125520338278</v>
      </c>
      <c r="CY149" s="267">
        <f>INDEX($M$144:$Z$158,MATCH($CW149,$L$144:$L$158,0),MATCH(CY$145,$M$145:$Z$145,0))/INDEX(고양시_재차인원!$K$4:$O$20,MATCH("경기도",고양시_재차인원!$K$4:$K$20,0),MATCH(CY$145,고양시_재차인원!$K$4:$O$4,0))</f>
        <v>5.4294713913941299E-4</v>
      </c>
      <c r="CZ149" s="267">
        <f>INDEX($M$144:$Z$158,MATCH($CW149,$L$144:$L$158,0),MATCH(CZ$145,$M$145:$Z$145,0))/INDEX(고양시_재차인원!$K$4:$O$20,MATCH("경기도",고양시_재차인원!$K$4:$K$20,0),MATCH(CZ$145,고양시_재차인원!$K$4:$O$4,0))</f>
        <v>0.15093930468075681</v>
      </c>
      <c r="DA149" s="267">
        <f>INDEX($M$144:$Z$158,MATCH($CW149,$L$144:$L$158,0),MATCH(DA$145,$M$145:$Z$145,0))/INDEX(고양시_재차인원!$D$4:$H$35,MATCH("고양시",고양시_재차인원!$B$4:$B$35,0),MATCH($CX$144,고양시_재차인원!$D$4:$H$4,0))</f>
        <v>4.21490833662389</v>
      </c>
      <c r="DB149" s="267">
        <f>INDEX($AA$144:$AN$158,MATCH($CW149,$L$144:$L$158,0),MATCH(DB$145,$AA$145:$AN$145,0))/INDEX(고양시_재차인원!$D$4:$H$35,MATCH("고양시",고양시_재차인원!$B$4:$B$35,0),MATCH($DB$144,고양시_재차인원!$D$4:$H$4,0))</f>
        <v>377.33399140436245</v>
      </c>
      <c r="DC149" s="267">
        <f>INDEX($AA$144:$AN$158,MATCH($CW149,$L$144:$L$158,0),MATCH(DC$145,$AA$145:$AN$145,0))/INDEX(고양시_재차인원!$K$4:$O$20,MATCH("경기도",고양시_재차인원!$K$4:$K$20,0),MATCH(DC$145,고양시_재차인원!$K$4:$O$4,0))</f>
        <v>3.9294195230018501E-3</v>
      </c>
      <c r="DD149" s="267">
        <f>INDEX($AA$144:$AN$158,MATCH($CW149,$L$144:$L$158,0),MATCH(DD$145,$AA$145:$AN$145,0))/INDEX(고양시_재차인원!$K$4:$O$20,MATCH("경기도",고양시_재차인원!$K$4:$K$20,0),MATCH(DD$145,고양시_재차인원!$K$4:$O$4,0))</f>
        <v>1.0923786273945142</v>
      </c>
      <c r="DE149" s="267">
        <f>INDEX($AA$144:$AN$158,MATCH($CW149,$L$144:$L$158,0),MATCH(DE$145,$AA$145:$AN$145,0))/INDEX(고양시_재차인원!$D$4:$H$35,MATCH("고양시",고양시_재차인원!$B$4:$B$35,0),MATCH($DB$144,고양시_재차인원!$D$4:$H$4,0))</f>
        <v>24.230249926454913</v>
      </c>
      <c r="DF149" s="267">
        <f>INDEX($AO$144:$BB$158,MATCH($CW149,$L$144:$L$158,0),MATCH(DF$145,$AO$145:$BB$145,0))/INDEX(고양시_재차인원!$D$4:$H$35,MATCH("고양시",고양시_재차인원!$B$4:$B$35,0),MATCH($DF$144,고양시_재차인원!$D$4:$H$4,0))</f>
        <v>23.478362400462512</v>
      </c>
      <c r="DG149" s="267">
        <f>INDEX($AO$144:$BB$158,MATCH($CW149,$L$144:$L$158,0),MATCH(DG$145,$AO$145:$BB$145,0))/INDEX(고양시_재차인원!$K$4:$O$20,MATCH("경기도",고양시_재차인원!$K$4:$K$20,0),MATCH(DG$145,고양시_재차인원!$K$4:$O$4,0))</f>
        <v>2.2542107190455366E-4</v>
      </c>
      <c r="DH149" s="267">
        <f>INDEX($AO$144:$BB$158,MATCH($CW149,$L$144:$L$158,0),MATCH(DH$145,$AO$145:$BB$145,0))/INDEX(고양시_재차인원!$K$4:$O$20,MATCH("경기도",고양시_재차인원!$K$4:$K$20,0),MATCH(DH$145,고양시_재차인원!$K$4:$O$4,0))</f>
        <v>6.266705798946591E-2</v>
      </c>
      <c r="DI149" s="267">
        <f>INDEX($AO$144:$BB$158,MATCH($CW149,$L$144:$L$158,0),MATCH(DI$145,$AO$145:$BB$145,0))/INDEX(고양시_재차인원!$D$4:$H$35,MATCH("고양시",고양시_재차인원!$B$4:$B$35,0),MATCH($DF$144,고양시_재차인원!$D$4:$H$4,0))</f>
        <v>1.5076473410460725</v>
      </c>
      <c r="DJ149" s="267">
        <f>INDEX($BC$144:$BP$158,MATCH($CW149,$L$144:$L$158,0),MATCH(DJ$145,$BC$145:$BP$145,0))/INDEX(고양시_재차인원!$D$4:$H$35,MATCH("고양시",고양시_재차인원!$B$4:$B$35,0),MATCH($DJ$144,고양시_재차인원!$D$4:$H$4,0))</f>
        <v>3.5268547346086643E-2</v>
      </c>
      <c r="DK149" s="267">
        <f>INDEX($BC$144:$BP$158,MATCH($CW149,$L$144:$L$158,0),MATCH(DK$145,$BC$145:$BP$145,0))/INDEX(고양시_재차인원!$K$4:$O$20,MATCH("경기도",고양시_재차인원!$K$4:$K$20,0),MATCH(DK$145,고양시_재차인원!$K$4:$O$4,0))</f>
        <v>3.5424998203963455E-7</v>
      </c>
      <c r="DL149" s="267">
        <f>INDEX($BC$144:$BP$158,MATCH($CW149,$L$144:$L$158,0),MATCH(DL$145,$BC$145:$BP$145,0))/INDEX(고양시_재차인원!$K$4:$O$20,MATCH("경기도",고양시_재차인원!$K$4:$K$20,0),MATCH(DL$145,고양시_재차인원!$K$4:$O$4,0))</f>
        <v>9.8481495007018402E-5</v>
      </c>
      <c r="DM149" s="267">
        <f>INDEX($BC$144:$BP$158,MATCH($CW149,$L$144:$L$158,0),MATCH(DM$145,$BC$145:$BP$145,0))/INDEX(고양시_재차인원!$D$4:$H$35,MATCH("고양시",고양시_재차인원!$B$4:$B$35,0),MATCH($DJ$144,고양시_재차인원!$D$4:$H$4,0))</f>
        <v>2.2647461829721806E-3</v>
      </c>
      <c r="DN149" s="267">
        <f>INDEX($BQ$144:$CD$158,MATCH($CW149,$L$144:$L$158,0),MATCH(DN$145,$BQ$145:$CD$145,0))/INDEX(고양시_재차인원!$D$4:$H$35,MATCH("고양시",고양시_재차인원!$B$4:$B$35,0),MATCH($DN$144,고양시_재차인원!$D$4:$H$4,0))</f>
        <v>0.14381107842002164</v>
      </c>
      <c r="DO149" s="267">
        <f>INDEX($BQ$144:$CD$158,MATCH($CW149,$L$144:$L$158,0),MATCH(DO$145,$BQ$145:$CD$145,0))/INDEX(고양시_재차인원!$K$4:$O$20,MATCH("경기도",고양시_재차인원!$K$4:$K$20,0),MATCH(DO$145,고양시_재차인원!$K$4:$O$4,0))</f>
        <v>1.3382777099275073E-6</v>
      </c>
      <c r="DP149" s="267">
        <f>INDEX($BQ$144:$CD$158,MATCH($CW149,$L$144:$L$158,0),MATCH(DP$145,$BQ$145:$CD$145,0))/INDEX(고양시_재차인원!$K$4:$O$20,MATCH("경기도",고양시_재차인원!$K$4:$K$20,0),MATCH(DP$145,고양시_재차인원!$K$4:$O$4,0))</f>
        <v>3.7204120335984707E-4</v>
      </c>
      <c r="DQ149" s="267">
        <f>INDEX($BQ$144:$CD$158,MATCH($CW149,$L$144:$L$158,0),MATCH(DQ$145,$BQ$145:$CD$145,0))/INDEX(고양시_재차인원!$D$4:$H$35,MATCH("고양시",고양시_재차인원!$B$4:$B$35,0),MATCH($DN$144,고양시_재차인원!$D$4:$H$4,0))</f>
        <v>9.2347322310964361E-3</v>
      </c>
      <c r="DR149" s="270">
        <f t="shared" si="86"/>
        <v>466.62955895092938</v>
      </c>
      <c r="DS149" s="270">
        <f t="shared" si="77"/>
        <v>4.6994802617377832E-3</v>
      </c>
      <c r="DT149" s="270">
        <f t="shared" si="78"/>
        <v>1.3064555127631037</v>
      </c>
      <c r="DU149" s="270">
        <f t="shared" si="79"/>
        <v>29.964305082538946</v>
      </c>
      <c r="DW149" s="278"/>
      <c r="DX149" s="278" t="s">
        <v>671</v>
      </c>
      <c r="DY149" s="281">
        <f t="shared" si="87"/>
        <v>496.59386403346832</v>
      </c>
      <c r="DZ149" s="281">
        <f t="shared" si="88"/>
        <v>1.3111549930248414</v>
      </c>
      <c r="EB149" s="278"/>
      <c r="EC149" s="278" t="s">
        <v>671</v>
      </c>
      <c r="ED149" s="281">
        <f t="shared" si="89"/>
        <v>496.59386403346832</v>
      </c>
      <c r="EE149" s="281">
        <f t="shared" si="80"/>
        <v>1.3111549930248414</v>
      </c>
      <c r="EL149" s="306" t="s">
        <v>12</v>
      </c>
      <c r="EM149" s="306" t="s">
        <v>360</v>
      </c>
      <c r="EN149" s="306">
        <v>6559.1377000000002</v>
      </c>
      <c r="EO149" s="306">
        <v>9.7934096505675777E-2</v>
      </c>
      <c r="EP149" s="307">
        <v>849104</v>
      </c>
      <c r="EQ149" s="308">
        <f t="shared" si="90"/>
        <v>18.475866185698219</v>
      </c>
      <c r="ER149" s="308">
        <f t="shared" si="91"/>
        <v>4.8781763034841719E-2</v>
      </c>
      <c r="ET149" s="420" t="s">
        <v>12</v>
      </c>
      <c r="EU149" s="420" t="s">
        <v>360</v>
      </c>
      <c r="EV149" s="420">
        <v>6559.1377000000002</v>
      </c>
      <c r="EW149" s="420">
        <v>9.7934096505675777E-2</v>
      </c>
      <c r="EX149" s="421">
        <v>849104</v>
      </c>
      <c r="EY149" s="422">
        <f t="shared" si="92"/>
        <v>17.949303999405821</v>
      </c>
      <c r="EZ149" s="422">
        <f t="shared" si="81"/>
        <v>4.7391482788348732E-2</v>
      </c>
      <c r="FA149">
        <v>0</v>
      </c>
      <c r="FD149" s="306" t="s">
        <v>12</v>
      </c>
      <c r="FE149" s="306" t="s">
        <v>360</v>
      </c>
      <c r="FF149" s="306">
        <v>6559.1377000000002</v>
      </c>
      <c r="FG149" s="306">
        <v>9.7934096505675777E-2</v>
      </c>
      <c r="FH149" s="307">
        <v>849104</v>
      </c>
      <c r="FI149" s="308">
        <f t="shared" si="82"/>
        <v>17.949303999405821</v>
      </c>
      <c r="FJ149" s="308">
        <f t="shared" si="83"/>
        <v>4.7391482788348732E-2</v>
      </c>
      <c r="FL149" s="101"/>
      <c r="FM149" s="101"/>
      <c r="FN149" s="101"/>
      <c r="FO149" s="101"/>
      <c r="FP149" s="374"/>
      <c r="FQ149" s="404"/>
      <c r="FR149" s="404"/>
    </row>
    <row r="150" spans="1:174" ht="25">
      <c r="A150" s="205"/>
      <c r="B150" s="205" t="s">
        <v>673</v>
      </c>
      <c r="C150" s="400">
        <f>$AB65*KTDB_TripDistribution_2045!T$12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273.57819599084172</v>
      </c>
      <c r="D150" s="400">
        <f>$AB65*KTDB_TripDistribution_2045!U$12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1979.9413734787358</v>
      </c>
      <c r="E150" s="400">
        <f>$AB65*KTDB_TripDistribution_2045!V$12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113.5843358300383</v>
      </c>
      <c r="F150" s="400">
        <f>$AB65*KTDB_TripDistribution_2045!W$12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0.17849817050294162</v>
      </c>
      <c r="G150" s="400">
        <f>$AB65*KTDB_TripDistribution_2045!X$12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0.67432642190000125</v>
      </c>
      <c r="H150" s="400">
        <f>$AB65*KTDB_TripDistribution_2045!Y$12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2367.9567298920197</v>
      </c>
      <c r="J150" s="230">
        <f t="shared" si="63"/>
        <v>2367.9567298920183</v>
      </c>
      <c r="K150" s="206"/>
      <c r="L150" s="206" t="s">
        <v>673</v>
      </c>
      <c r="M150" s="206">
        <f>INDEX($A$145:$H$158,MATCH($L150,$B$145:$B$158,0),MATCH($M$144,$A$145:$H$145,0))*고양시_Modal_split!C$3 * 0.01</f>
        <v>0.76601894877435672</v>
      </c>
      <c r="N150" s="206">
        <f>INDEX($A$145:$H$158,MATCH($L150,$B$145:$B$158,0),MATCH($M$144,$A$145:$H$145,0))*고양시_Modal_split!D$3 * 0.01</f>
        <v>128.66382557449285</v>
      </c>
      <c r="O150" s="206">
        <f>INDEX($A$145:$H$158,MATCH($L150,$B$145:$B$158,0),MATCH($M$144,$A$145:$H$145,0))*고양시_Modal_split!E$3 * 0.01</f>
        <v>15.566599351878892</v>
      </c>
      <c r="P150" s="206">
        <f>INDEX($A$145:$H$158,MATCH($L150,$B$145:$B$158,0),MATCH($M$144,$A$145:$H$145,0))*고양시_Modal_split!F$3 * 0.01</f>
        <v>25.087120572360188</v>
      </c>
      <c r="Q150" s="206">
        <f>INDEX($A$145:$H$158,MATCH($L150,$B$145:$B$158,0),MATCH($M$144,$A$145:$H$145,0))*고양시_Modal_split!G$3 * 0.01</f>
        <v>2.5169194031157436</v>
      </c>
      <c r="R150" s="206">
        <f>INDEX($A$145:$H$158,MATCH($L150,$B$145:$B$158,0),MATCH($M$144,$A$145:$H$145,0))*고양시_Modal_split!H$3 * 0.01</f>
        <v>2.7357819599084177E-2</v>
      </c>
      <c r="S150" s="206">
        <f>INDEX($A$145:$H$158,MATCH($L150,$B$145:$B$158,0),MATCH($M$144,$A$145:$H$145,0))*고양시_Modal_split!I$3 * 0.01</f>
        <v>7.6054738485453992</v>
      </c>
      <c r="T150" s="206">
        <f>INDEX($A$145:$H$158,MATCH($L150,$B$145:$B$158,0),MATCH($M$144,$A$145:$H$145,0))*고양시_Modal_split!J$3 * 0.01</f>
        <v>83.277202859612231</v>
      </c>
      <c r="U150" s="206">
        <f>INDEX($A$145:$H$158,MATCH($L150,$B$145:$B$158,0),MATCH($M$144,$A$145:$H$145,0))*고양시_Modal_split!K$3 * 0.01</f>
        <v>0.41036729398626259</v>
      </c>
      <c r="V150" s="206">
        <f>INDEX($A$145:$H$158,MATCH($L150,$B$145:$B$158,0),MATCH($M$144,$A$145:$H$145,0))*고양시_Modal_split!L$3 * 0.01</f>
        <v>8.262061518923419</v>
      </c>
      <c r="W150" s="206">
        <f>INDEX($A$145:$H$158,MATCH($L150,$B$145:$B$158,0),MATCH($M$144,$A$145:$H$145,0))*고양시_Modal_split!M$3 * 0.01</f>
        <v>0.6292298507789359</v>
      </c>
      <c r="X150" s="206">
        <f>INDEX($A$145:$H$158,MATCH($L150,$B$145:$B$158,0),MATCH($M$144,$A$145:$H$145,0))*고양시_Modal_split!N$3 * 0.01</f>
        <v>0.27357819599084177</v>
      </c>
      <c r="Y150" s="206">
        <f>INDEX($A$145:$H$158,MATCH($L150,$B$145:$B$158,0),MATCH($M$144,$A$145:$H$145,0))*고양시_Modal_split!O$3 * 0.01</f>
        <v>0.49244075278351512</v>
      </c>
      <c r="Z150" s="209">
        <f>INDEX($A$145:$H$158,MATCH($L150,$B$145:$B$158,0),MATCH($M$144,$A$145:$H$145,0))*고양시_Modal_split!P$3 * 0.01</f>
        <v>273.57819599084172</v>
      </c>
      <c r="AA150" s="207">
        <f>INDEX($A$145:$H$158,MATCH($L150,$B$145:$B$158,0),MATCH($AA$144,$A$145:$H$145,0))*고양시_Modal_split!C$3 * 0.01</f>
        <v>5.5438358457404595</v>
      </c>
      <c r="AB150" s="207">
        <f>INDEX($A$145:$H$158,MATCH($L150,$B$145:$B$158,0),MATCH($AA$144,$A$145:$H$145,0))*고양시_Modal_split!D$3 * 0.01</f>
        <v>931.16642794704956</v>
      </c>
      <c r="AC150" s="207">
        <f>INDEX($A$145:$H$158,MATCH($L150,$B$145:$B$158,0),MATCH($AA$144,$A$145:$H$145,0))*고양시_Modal_split!E$3 * 0.01</f>
        <v>112.65866415094006</v>
      </c>
      <c r="AD150" s="207">
        <f>INDEX($A$145:$H$158,MATCH($L150,$B$145:$B$158,0),MATCH($AA$144,$A$145:$H$145,0))*고양시_Modal_split!F$3 * 0.01</f>
        <v>181.56062394800006</v>
      </c>
      <c r="AE150" s="207">
        <f>INDEX($A$145:$H$158,MATCH($L150,$B$145:$B$158,0),MATCH($AA$144,$A$145:$H$145,0))*고양시_Modal_split!G$3 * 0.01</f>
        <v>18.215460636004369</v>
      </c>
      <c r="AF150" s="207">
        <f>INDEX($A$145:$H$158,MATCH($L150,$B$145:$B$158,0),MATCH($AA$144,$A$145:$H$145,0))*고양시_Modal_split!H$3 * 0.01</f>
        <v>0.19799413734787358</v>
      </c>
      <c r="AG150" s="207">
        <f>INDEX($A$145:$H$158,MATCH($L150,$B$145:$B$158,0),MATCH($AA$144,$A$145:$H$145,0))*고양시_Modal_split!I$3 * 0.01</f>
        <v>55.042370182708858</v>
      </c>
      <c r="AH150" s="207">
        <f>INDEX($A$145:$H$158,MATCH($L150,$B$145:$B$158,0),MATCH($AA$144,$A$145:$H$145,0))*고양시_Modal_split!J$3 * 0.01</f>
        <v>602.69415408692726</v>
      </c>
      <c r="AI150" s="207">
        <f>INDEX($A$145:$H$158,MATCH($L150,$B$145:$B$158,0),MATCH($AA$144,$A$145:$H$145,0))*고양시_Modal_split!K$3 * 0.01</f>
        <v>2.9699120602181033</v>
      </c>
      <c r="AJ150" s="207">
        <f>INDEX($A$145:$H$158,MATCH($L150,$B$145:$B$158,0),MATCH($AA$144,$A$145:$H$145,0))*고양시_Modal_split!L$3 * 0.01</f>
        <v>59.794229479057826</v>
      </c>
      <c r="AK150" s="207">
        <f>INDEX($A$145:$H$158,MATCH($L150,$B$145:$B$158,0),MATCH($AA$144,$A$145:$H$145,0))*고양시_Modal_split!M$3 * 0.01</f>
        <v>4.5538651590010923</v>
      </c>
      <c r="AL150" s="207">
        <f>INDEX($A$145:$H$158,MATCH($L150,$B$145:$B$158,0),MATCH($AA$144,$A$145:$H$145,0))*고양시_Modal_split!N$3 * 0.01</f>
        <v>1.9799413734787359</v>
      </c>
      <c r="AM150" s="207">
        <f>INDEX($A$145:$H$158,MATCH($L150,$B$145:$B$158,0),MATCH($AA$144,$A$145:$H$145,0))*고양시_Modal_split!O$3 * 0.01</f>
        <v>3.5638944722617243</v>
      </c>
      <c r="AN150" s="207">
        <f>INDEX($A$145:$H$158,MATCH($L150,$B$145:$B$158,0),MATCH($AA$144,$A$145:$H$145,0))*고양시_Modal_split!P$3 * 0.01</f>
        <v>1979.9413734787361</v>
      </c>
      <c r="AO150" s="303">
        <f>INDEX($A$145:$H$158,MATCH($L150,$B$145:$B$158,0),MATCH($AO$144,$A$145:$H$145,0))*고양시_Modal_split!C$3 * 0.01</f>
        <v>0.31803614032410721</v>
      </c>
      <c r="AP150" s="303">
        <f>INDEX($A$145:$H$158,MATCH($L150,$B$145:$B$158,0),MATCH($AO$144,$A$145:$H$145,0))*고양시_Modal_split!D$3 * 0.01</f>
        <v>53.418713140867013</v>
      </c>
      <c r="AQ150" s="303">
        <f>INDEX($A$145:$H$158,MATCH($L150,$B$145:$B$158,0),MATCH($AO$144,$A$145:$H$145,0))*고양시_Modal_split!E$3 * 0.01</f>
        <v>6.4629487087291784</v>
      </c>
      <c r="AR150" s="303">
        <f>INDEX($A$145:$H$158,MATCH($L150,$B$145:$B$158,0),MATCH($AO$144,$A$145:$H$145,0))*고양시_Modal_split!F$3 * 0.01</f>
        <v>10.415683595614512</v>
      </c>
      <c r="AS150" s="303">
        <f>INDEX($A$145:$H$158,MATCH($L150,$B$145:$B$158,0),MATCH($AO$144,$A$145:$H$145,0))*고양시_Modal_split!G$3 * 0.01</f>
        <v>1.0449758896363524</v>
      </c>
      <c r="AT150" s="303">
        <f>INDEX($A$145:$H$158,MATCH($L150,$B$145:$B$158,0),MATCH($AO$144,$A$145:$H$145,0))*고양시_Modal_split!H$3 * 0.01</f>
        <v>1.135843358300383E-2</v>
      </c>
      <c r="AU150" s="303">
        <f>INDEX($A$145:$H$158,MATCH($L150,$B$145:$B$158,0),MATCH($AO$144,$A$145:$H$145,0))*고양시_Modal_split!I$3 * 0.01</f>
        <v>3.1576445360750642</v>
      </c>
      <c r="AV150" s="303">
        <f>INDEX($A$145:$H$158,MATCH($L150,$B$145:$B$158,0),MATCH($AO$144,$A$145:$H$145,0))*고양시_Modal_split!J$3 * 0.01</f>
        <v>34.57507182666366</v>
      </c>
      <c r="AW150" s="303">
        <f>INDEX($A$145:$H$158,MATCH($L150,$B$145:$B$158,0),MATCH($AO$144,$A$145:$H$145,0))*고양시_Modal_split!K$3 * 0.01</f>
        <v>0.17037650374505744</v>
      </c>
      <c r="AX150" s="303">
        <f>INDEX($A$145:$H$158,MATCH($L150,$B$145:$B$158,0),MATCH($AO$144,$A$145:$H$145,0))*고양시_Modal_split!L$3 * 0.01</f>
        <v>3.4302469420671566</v>
      </c>
      <c r="AY150" s="303">
        <f>INDEX($A$145:$H$158,MATCH($L150,$B$145:$B$158,0),MATCH($AO$144,$A$145:$H$145,0))*고양시_Modal_split!M$3 * 0.01</f>
        <v>0.26124397240908809</v>
      </c>
      <c r="AZ150" s="303">
        <f>INDEX($A$145:$H$158,MATCH($L150,$B$145:$B$158,0),MATCH($AO$144,$A$145:$H$145,0))*고양시_Modal_split!N$3 * 0.01</f>
        <v>0.1135843358300383</v>
      </c>
      <c r="BA150" s="207">
        <f>INDEX($A$145:$H$158,MATCH($L150,$B$145:$B$158,0),MATCH($AO$144,$A$145:$H$145,0))*고양시_Modal_split!O$3 * 0.01</f>
        <v>0.20445180449406894</v>
      </c>
      <c r="BB150" s="207">
        <f>INDEX($A$145:$H$158,MATCH($L150,$B$145:$B$158,0),MATCH($AO$144,$A$145:$H$145,0))*고양시_Modal_split!P$3 * 0.01</f>
        <v>113.5843358300383</v>
      </c>
      <c r="BC150" s="207">
        <f>INDEX($A$145:$H$158,MATCH($L150,$B$145:$B$158,0),MATCH($BC$144,$A$145:$H$145,0))*고양시_Modal_split!C$3 * 0.01</f>
        <v>4.9979487740823647E-4</v>
      </c>
      <c r="BD150" s="207">
        <f>INDEX($A$145:$H$158,MATCH($L150,$B$145:$B$158,0),MATCH($BC$144,$A$145:$H$145,0))*고양시_Modal_split!D$3 * 0.01</f>
        <v>8.3947689587533444E-2</v>
      </c>
      <c r="BE150" s="207">
        <f>INDEX($A$145:$H$158,MATCH($L150,$B$145:$B$158,0),MATCH($BC$144,$A$145:$H$145,0))*고양시_Modal_split!E$3 * 0.01</f>
        <v>1.0156545901617377E-2</v>
      </c>
      <c r="BF150" s="207">
        <f>INDEX($A$145:$H$158,MATCH($L150,$B$145:$B$158,0),MATCH($BC$144,$A$145:$H$145,0))*고양시_Modal_split!F$3 * 0.01</f>
        <v>1.6368282235119748E-2</v>
      </c>
      <c r="BG150" s="207">
        <f>INDEX($A$145:$H$158,MATCH($L150,$B$145:$B$158,0),MATCH($BC$144,$A$145:$H$145,0))*고양시_Modal_split!G$3 * 0.01</f>
        <v>1.6421831686270628E-3</v>
      </c>
      <c r="BH150" s="207">
        <f>INDEX($A$145:$H$158,MATCH($L150,$B$145:$B$158,0),MATCH($BC$144,$A$145:$H$145,0))*고양시_Modal_split!H$3 * 0.01</f>
        <v>1.7849817050294163E-5</v>
      </c>
      <c r="BI150" s="207">
        <f>INDEX($A$145:$H$158,MATCH($L150,$B$145:$B$158,0),MATCH($BC$144,$A$145:$H$145,0))*고양시_Modal_split!I$3 * 0.01</f>
        <v>4.9622491399817763E-3</v>
      </c>
      <c r="BJ150" s="207">
        <f>INDEX($A$145:$H$158,MATCH($L150,$B$145:$B$158,0),MATCH($BC$144,$A$145:$H$145,0))*고양시_Modal_split!J$3 * 0.01</f>
        <v>5.4334843101095431E-2</v>
      </c>
      <c r="BK150" s="207">
        <f>INDEX($A$145:$H$158,MATCH($L150,$B$145:$B$158,0),MATCH($BC$144,$A$145:$H$145,0))*고양시_Modal_split!K$3 * 0.01</f>
        <v>2.6774725575441242E-4</v>
      </c>
      <c r="BL150" s="207">
        <f>INDEX($A$145:$H$158,MATCH($L150,$B$145:$B$158,0),MATCH($BC$144,$A$145:$H$145,0))*고양시_Modal_split!L$3 * 0.01</f>
        <v>5.3906447491888368E-3</v>
      </c>
      <c r="BM150" s="207">
        <f>INDEX($A$145:$H$158,MATCH($L150,$B$145:$B$158,0),MATCH($BC$144,$A$145:$H$145,0))*고양시_Modal_split!M$3 * 0.01</f>
        <v>4.105457921567657E-4</v>
      </c>
      <c r="BN150" s="207">
        <f>INDEX($A$145:$H$158,MATCH($L150,$B$145:$B$158,0),MATCH($BC$144,$A$145:$H$145,0))*고양시_Modal_split!N$3 * 0.01</f>
        <v>1.7849817050294162E-4</v>
      </c>
      <c r="BO150" s="207">
        <f>INDEX($A$145:$H$158,MATCH($L150,$B$145:$B$158,0),MATCH($BC$144,$A$145:$H$145,0))*고양시_Modal_split!O$3 * 0.01</f>
        <v>3.2129670690529487E-4</v>
      </c>
      <c r="BP150" s="207">
        <f>INDEX($A$145:$H$158,MATCH($L150,$B$145:$B$158,0),MATCH($BC$144,$A$145:$H$145,0))*고양시_Modal_split!P$3 * 0.01</f>
        <v>0.17849817050294164</v>
      </c>
      <c r="BQ150" s="207">
        <f>INDEX($A$145:$H$158,MATCH($L150,$B$145:$B$158,0),MATCH($BQ$144,$A$145:$H$145,0))*고양시_Modal_split!C$3 * 0.01</f>
        <v>1.8881139813200032E-3</v>
      </c>
      <c r="BR150" s="207">
        <f>INDEX($A$145:$H$158,MATCH($L150,$B$145:$B$158,0),MATCH($BQ$144,$A$145:$H$145,0))*고양시_Modal_split!D$3 * 0.01</f>
        <v>0.3171357162195706</v>
      </c>
      <c r="BS150" s="207">
        <f>INDEX($A$145:$H$158,MATCH($L150,$B$145:$B$158,0),MATCH($BQ$144,$A$145:$H$145,0))*고양시_Modal_split!E$3 * 0.01</f>
        <v>3.8369173406110069E-2</v>
      </c>
      <c r="BT150" s="207">
        <f>INDEX($A$145:$H$158,MATCH($L150,$B$145:$B$158,0),MATCH($BQ$144,$A$145:$H$145,0))*고양시_Modal_split!F$3 * 0.01</f>
        <v>6.1835732888230119E-2</v>
      </c>
      <c r="BU150" s="207">
        <f>INDEX($A$145:$H$158,MATCH($L150,$B$145:$B$158,0),MATCH($BQ$144,$A$145:$H$145,0))*고양시_Modal_split!G$3 * 0.01</f>
        <v>6.203803081480011E-3</v>
      </c>
      <c r="BV150" s="207">
        <f>INDEX($A$145:$H$158,MATCH($L150,$B$145:$B$158,0),MATCH($BQ$144,$A$145:$H$145,0))*고양시_Modal_split!H$3 * 0.01</f>
        <v>6.7432642190000126E-5</v>
      </c>
      <c r="BW150" s="207">
        <f>INDEX($A$145:$H$158,MATCH($L150,$B$145:$B$158,0),MATCH($BQ$144,$A$145:$H$145,0))*고양시_Modal_split!I$3 * 0.01</f>
        <v>1.8746274528820033E-2</v>
      </c>
      <c r="BX150" s="207">
        <f>INDEX($A$145:$H$158,MATCH($L150,$B$145:$B$158,0),MATCH($BQ$144,$A$145:$H$145,0))*고양시_Modal_split!J$3 * 0.01</f>
        <v>0.20526496282636039</v>
      </c>
      <c r="BY150" s="207">
        <f>INDEX($A$145:$H$158,MATCH($L150,$B$145:$B$158,0),MATCH($BQ$144,$A$145:$H$145,0))*고양시_Modal_split!K$3 * 0.01</f>
        <v>1.011489632850002E-3</v>
      </c>
      <c r="BZ150" s="207">
        <f>INDEX($A$145:$H$158,MATCH($L150,$B$145:$B$158,0),MATCH($BQ$144,$A$145:$H$145,0))*고양시_Modal_split!L$3 * 0.01</f>
        <v>2.0364657941380041E-2</v>
      </c>
      <c r="CA150" s="207">
        <f>INDEX($A$145:$H$158,MATCH($L150,$B$145:$B$158,0),MATCH($BQ$144,$A$145:$H$145,0))*고양시_Modal_split!M$3 * 0.01</f>
        <v>1.5509507703700028E-3</v>
      </c>
      <c r="CB150" s="207">
        <f>INDEX($A$145:$H$158,MATCH($L150,$B$145:$B$158,0),MATCH($BQ$144,$A$145:$H$145,0))*고양시_Modal_split!N$3 * 0.01</f>
        <v>6.7432642190000131E-4</v>
      </c>
      <c r="CC150" s="207">
        <f>INDEX($A$145:$H$158,MATCH($L150,$B$145:$B$158,0),MATCH($BQ$144,$A$145:$H$145,0))*고양시_Modal_split!O$3 * 0.01</f>
        <v>1.2137875594200023E-3</v>
      </c>
      <c r="CD150" s="207">
        <f>INDEX($A$145:$H$158,MATCH($L150,$B$145:$B$158,0),MATCH($BQ$144,$A$145:$H$145,0))*고양시_Modal_split!P$3 * 0.01</f>
        <v>0.67432642190000125</v>
      </c>
      <c r="CE150" s="304">
        <f t="shared" si="84"/>
        <v>6.630278843697651</v>
      </c>
      <c r="CF150" s="304">
        <f t="shared" si="64"/>
        <v>1113.6500500682166</v>
      </c>
      <c r="CG150" s="304">
        <f t="shared" si="65"/>
        <v>134.73673793085587</v>
      </c>
      <c r="CH150" s="304">
        <f t="shared" si="66"/>
        <v>217.14163213109811</v>
      </c>
      <c r="CI150" s="304">
        <f t="shared" si="67"/>
        <v>21.785201915006571</v>
      </c>
      <c r="CJ150" s="304">
        <f t="shared" si="68"/>
        <v>0.2367956729892019</v>
      </c>
      <c r="CK150" s="304">
        <f t="shared" si="69"/>
        <v>65.829197090998122</v>
      </c>
      <c r="CL150" s="304">
        <f t="shared" si="70"/>
        <v>720.80602857913061</v>
      </c>
      <c r="CM150" s="304">
        <f t="shared" si="71"/>
        <v>3.5519350948380279</v>
      </c>
      <c r="CN150" s="304">
        <f t="shared" si="72"/>
        <v>71.512293242738977</v>
      </c>
      <c r="CO150" s="304">
        <f t="shared" si="73"/>
        <v>5.4463004787516427</v>
      </c>
      <c r="CP150" s="304">
        <f t="shared" si="74"/>
        <v>2.3679567298920188</v>
      </c>
      <c r="CQ150" s="304">
        <f t="shared" si="75"/>
        <v>4.2623221138056344</v>
      </c>
      <c r="CR150" s="304">
        <f t="shared" si="76"/>
        <v>2367.9567298920183</v>
      </c>
      <c r="CS150" s="305">
        <f t="shared" si="85"/>
        <v>0</v>
      </c>
      <c r="CV150" s="265"/>
      <c r="CW150" s="265" t="s">
        <v>673</v>
      </c>
      <c r="CX150" s="267">
        <f>INDEX($M$144:$Z$158,MATCH($CW150,$L$144:$L$158,0),MATCH(CX$145,$M$145:$Z$145,0))/INDEX(고양시_재차인원!$D$4:$H$35,MATCH("고양시",고양시_재차인원!$B$4:$B$35,0),MATCH($CX$144,고양시_재차인원!$D$4:$H$4,0))</f>
        <v>114.87841569151146</v>
      </c>
      <c r="CY150" s="267">
        <f>INDEX($M$144:$Z$158,MATCH($CW150,$L$144:$L$158,0),MATCH(CY$145,$M$145:$Z$145,0))/INDEX(고양시_재차인원!$K$4:$O$20,MATCH("경기도",고양시_재차인원!$K$4:$K$20,0),MATCH(CY$145,고양시_재차인원!$K$4:$O$4,0))</f>
        <v>9.5025424102411179E-4</v>
      </c>
      <c r="CZ150" s="267">
        <f>INDEX($M$144:$Z$158,MATCH($CW150,$L$144:$L$158,0),MATCH(CZ$145,$M$145:$Z$145,0))/INDEX(고양시_재차인원!$K$4:$O$20,MATCH("경기도",고양시_재차인원!$K$4:$K$20,0),MATCH(CZ$145,고양시_재차인원!$K$4:$O$4,0))</f>
        <v>0.26417067900470298</v>
      </c>
      <c r="DA150" s="267">
        <f>INDEX($M$144:$Z$158,MATCH($CW150,$L$144:$L$158,0),MATCH(DA$145,$M$145:$Z$145,0))/INDEX(고양시_재차인원!$D$4:$H$35,MATCH("고양시",고양시_재차인원!$B$4:$B$35,0),MATCH($CX$144,고양시_재차인원!$D$4:$H$4,0))</f>
        <v>7.3768406418959094</v>
      </c>
      <c r="DB150" s="267">
        <f>INDEX($AA$144:$AN$158,MATCH($CW150,$L$144:$L$158,0),MATCH(DB$145,$AA$145:$AN$145,0))/INDEX(고양시_재차인원!$D$4:$H$35,MATCH("고양시",고양시_재차인원!$B$4:$B$35,0),MATCH($DB$144,고양시_재차인원!$D$4:$H$4,0))</f>
        <v>660.40172194826209</v>
      </c>
      <c r="DC150" s="267">
        <f>INDEX($AA$144:$AN$158,MATCH($CW150,$L$144:$L$158,0),MATCH(DC$145,$AA$145:$AN$145,0))/INDEX(고양시_재차인원!$K$4:$O$20,MATCH("경기도",고양시_재차인원!$K$4:$K$20,0),MATCH(DC$145,고양시_재차인원!$K$4:$O$4,0))</f>
        <v>6.8771843469216248E-3</v>
      </c>
      <c r="DD150" s="267">
        <f>INDEX($AA$144:$AN$158,MATCH($CW150,$L$144:$L$158,0),MATCH(DD$145,$AA$145:$AN$145,0))/INDEX(고양시_재차인원!$K$4:$O$20,MATCH("경기도",고양시_재차인원!$K$4:$K$20,0),MATCH(DD$145,고양시_재차인원!$K$4:$O$4,0))</f>
        <v>1.9118572484442118</v>
      </c>
      <c r="DE150" s="267">
        <f>INDEX($AA$144:$AN$158,MATCH($CW150,$L$144:$L$158,0),MATCH(DE$145,$AA$145:$AN$145,0))/INDEX(고양시_재차인원!$D$4:$H$35,MATCH("고양시",고양시_재차인원!$B$4:$B$35,0),MATCH($DB$144,고양시_재차인원!$D$4:$H$4,0))</f>
        <v>42.407254949686404</v>
      </c>
      <c r="DF150" s="267">
        <f>INDEX($AO$144:$BB$158,MATCH($CW150,$L$144:$L$158,0),MATCH(DF$145,$AO$145:$BB$145,0))/INDEX(고양시_재차인원!$D$4:$H$35,MATCH("고양시",고양시_재차인원!$B$4:$B$35,0),MATCH($DF$144,고양시_재차인원!$D$4:$H$4,0))</f>
        <v>41.091317800666928</v>
      </c>
      <c r="DG150" s="267">
        <f>INDEX($AO$144:$BB$158,MATCH($CW150,$L$144:$L$158,0),MATCH(DG$145,$AO$145:$BB$145,0))/INDEX(고양시_재차인원!$K$4:$O$20,MATCH("경기도",고양시_재차인원!$K$4:$K$20,0),MATCH(DG$145,고양시_재차인원!$K$4:$O$4,0))</f>
        <v>3.9452704352218931E-4</v>
      </c>
      <c r="DH150" s="267">
        <f>INDEX($AO$144:$BB$158,MATCH($CW150,$L$144:$L$158,0),MATCH(DH$145,$AO$145:$BB$145,0))/INDEX(고양시_재차인원!$K$4:$O$20,MATCH("경기도",고양시_재차인원!$K$4:$K$20,0),MATCH(DH$145,고양시_재차인원!$K$4:$O$4,0))</f>
        <v>0.10967851809916861</v>
      </c>
      <c r="DI150" s="267">
        <f>INDEX($AO$144:$BB$158,MATCH($CW150,$L$144:$L$158,0),MATCH(DI$145,$AO$145:$BB$145,0))/INDEX(고양시_재차인원!$D$4:$H$35,MATCH("고양시",고양시_재차인원!$B$4:$B$35,0),MATCH($DF$144,고양시_재차인원!$D$4:$H$4,0))</f>
        <v>2.6386514938978127</v>
      </c>
      <c r="DJ150" s="267">
        <f>INDEX($BC$144:$BP$158,MATCH($CW150,$L$144:$L$158,0),MATCH(DJ$145,$BC$145:$BP$145,0))/INDEX(고양시_재차인원!$D$4:$H$35,MATCH("고양시",고양시_재차인원!$B$4:$B$35,0),MATCH($DJ$144,고양시_재차인원!$D$4:$H$4,0))</f>
        <v>6.1726242343774586E-2</v>
      </c>
      <c r="DK150" s="267">
        <f>INDEX($BC$144:$BP$158,MATCH($CW150,$L$144:$L$158,0),MATCH(DK$145,$BC$145:$BP$145,0))/INDEX(고양시_재차인원!$K$4:$O$20,MATCH("경기도",고양시_재차인원!$K$4:$K$20,0),MATCH(DK$145,고양시_재차인원!$K$4:$O$4,0))</f>
        <v>6.2000059222973823E-7</v>
      </c>
      <c r="DL150" s="267">
        <f>INDEX($BC$144:$BP$158,MATCH($CW150,$L$144:$L$158,0),MATCH(DL$145,$BC$145:$BP$145,0))/INDEX(고양시_재차인원!$K$4:$O$20,MATCH("경기도",고양시_재차인원!$K$4:$K$20,0),MATCH(DL$145,고양시_재차인원!$K$4:$O$4,0))</f>
        <v>1.7236016463986721E-4</v>
      </c>
      <c r="DM150" s="267">
        <f>INDEX($BC$144:$BP$158,MATCH($CW150,$L$144:$L$158,0),MATCH(DM$145,$BC$145:$BP$145,0))/INDEX(고양시_재차인원!$D$4:$H$35,MATCH("고양시",고양시_재차인원!$B$4:$B$35,0),MATCH($DJ$144,고양시_재차인원!$D$4:$H$4,0))</f>
        <v>3.9637093744035561E-3</v>
      </c>
      <c r="DN150" s="267">
        <f>INDEX($BQ$144:$CD$158,MATCH($CW150,$L$144:$L$158,0),MATCH(DN$145,$BQ$145:$CD$145,0))/INDEX(고양시_재차인원!$D$4:$H$35,MATCH("고양시",고양시_재차인원!$B$4:$B$35,0),MATCH($DN$144,고양시_재차인원!$D$4:$H$4,0))</f>
        <v>0.25169501287267509</v>
      </c>
      <c r="DO150" s="267">
        <f>INDEX($BQ$144:$CD$158,MATCH($CW150,$L$144:$L$158,0),MATCH(DO$145,$BQ$145:$CD$145,0))/INDEX(고양시_재차인원!$K$4:$O$20,MATCH("경기도",고양시_재차인원!$K$4:$K$20,0),MATCH(DO$145,고양시_재차인원!$K$4:$O$4,0))</f>
        <v>2.3422244595345651E-6</v>
      </c>
      <c r="DP150" s="267">
        <f>INDEX($BQ$144:$CD$158,MATCH($CW150,$L$144:$L$158,0),MATCH(DP$145,$BQ$145:$CD$145,0))/INDEX(고양시_재차인원!$K$4:$O$20,MATCH("경기도",고양시_재차인원!$K$4:$K$20,0),MATCH(DP$145,고양시_재차인원!$K$4:$O$4,0))</f>
        <v>6.5113839975060902E-4</v>
      </c>
      <c r="DQ150" s="267">
        <f>INDEX($BQ$144:$CD$158,MATCH($CW150,$L$144:$L$158,0),MATCH(DQ$145,$BQ$145:$CD$145,0))/INDEX(고양시_재차인원!$D$4:$H$35,MATCH("고양시",고양시_재차인원!$B$4:$B$35,0),MATCH($DN$144,고양시_재차인원!$D$4:$H$4,0))</f>
        <v>1.6162426937603207E-2</v>
      </c>
      <c r="DR150" s="270">
        <f t="shared" si="86"/>
        <v>816.68487669565695</v>
      </c>
      <c r="DS150" s="270">
        <f t="shared" si="77"/>
        <v>8.2249278565196902E-3</v>
      </c>
      <c r="DT150" s="270">
        <f t="shared" si="78"/>
        <v>2.2865299441124742</v>
      </c>
      <c r="DU150" s="270">
        <f t="shared" si="79"/>
        <v>52.442873221792134</v>
      </c>
      <c r="DW150" s="278"/>
      <c r="DX150" s="278" t="s">
        <v>673</v>
      </c>
      <c r="DY150" s="281">
        <f t="shared" si="87"/>
        <v>869.12774991744914</v>
      </c>
      <c r="DZ150" s="281">
        <f t="shared" si="88"/>
        <v>2.2947548719689941</v>
      </c>
      <c r="EB150" s="278"/>
      <c r="EC150" s="278" t="s">
        <v>673</v>
      </c>
      <c r="ED150" s="281">
        <f t="shared" si="89"/>
        <v>869.12774991744914</v>
      </c>
      <c r="EE150" s="281">
        <f t="shared" si="80"/>
        <v>2.2947548719689941</v>
      </c>
      <c r="EL150" s="306" t="s">
        <v>12</v>
      </c>
      <c r="EM150" s="306" t="s">
        <v>361</v>
      </c>
      <c r="EN150" s="306">
        <v>8261.5616000000009</v>
      </c>
      <c r="EO150" s="306">
        <v>0.12335288692322853</v>
      </c>
      <c r="EP150" s="307">
        <v>849105</v>
      </c>
      <c r="EQ150" s="308">
        <f t="shared" si="90"/>
        <v>23.271276437221754</v>
      </c>
      <c r="ER150" s="308">
        <f t="shared" si="91"/>
        <v>6.1443067473480217E-2</v>
      </c>
      <c r="ET150" s="420" t="s">
        <v>12</v>
      </c>
      <c r="EU150" s="420" t="s">
        <v>361</v>
      </c>
      <c r="EV150" s="420">
        <v>8261.5616000000009</v>
      </c>
      <c r="EW150" s="420">
        <v>0.12335288692322853</v>
      </c>
      <c r="EX150" s="421">
        <v>849105</v>
      </c>
      <c r="EY150" s="422">
        <f t="shared" si="92"/>
        <v>22.608045058760936</v>
      </c>
      <c r="EZ150" s="422">
        <f t="shared" si="81"/>
        <v>5.9691940050486031E-2</v>
      </c>
      <c r="FA150">
        <v>0</v>
      </c>
      <c r="FD150" s="306" t="s">
        <v>12</v>
      </c>
      <c r="FE150" s="306" t="s">
        <v>361</v>
      </c>
      <c r="FF150" s="306">
        <v>8261.5616000000009</v>
      </c>
      <c r="FG150" s="306">
        <v>0.12335288692322853</v>
      </c>
      <c r="FH150" s="307">
        <v>849105</v>
      </c>
      <c r="FI150" s="308">
        <f t="shared" si="82"/>
        <v>22.608045058760936</v>
      </c>
      <c r="FJ150" s="308">
        <f t="shared" si="83"/>
        <v>5.9691940050486031E-2</v>
      </c>
      <c r="FL150" s="101"/>
      <c r="FM150" s="101"/>
      <c r="FN150" s="101"/>
      <c r="FO150" s="101"/>
      <c r="FP150" s="374"/>
      <c r="FQ150" s="404"/>
      <c r="FR150" s="404"/>
    </row>
    <row r="151" spans="1:174" ht="25">
      <c r="A151" s="205"/>
      <c r="B151" s="205" t="s">
        <v>13</v>
      </c>
      <c r="C151" s="400">
        <f>$AB66*KTDB_TripDistribution_2045!T$12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91.304146452655189</v>
      </c>
      <c r="D151" s="400">
        <f>$AB66*KTDB_TripDistribution_2045!U$12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660.78678703556272</v>
      </c>
      <c r="E151" s="400">
        <f>$AB66*KTDB_TripDistribution_2045!V$12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37.907702387585587</v>
      </c>
      <c r="F151" s="400">
        <f>$AB66*KTDB_TripDistribution_2045!W$12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5.9572083374938169E-2</v>
      </c>
      <c r="G151" s="400">
        <f>$AB66*KTDB_TripDistribution_2045!X$12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0.2250500927497662</v>
      </c>
      <c r="H151" s="400">
        <f>$AB66*KTDB_TripDistribution_2045!Y$12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790.28325805192821</v>
      </c>
      <c r="K151" s="206"/>
      <c r="L151" s="206" t="s">
        <v>13</v>
      </c>
      <c r="M151" s="206">
        <f>INDEX($A$145:$H$158,MATCH($L151,$B$145:$B$158,0),MATCH($M$144,$A$145:$H$145,0))*고양시_Modal_split!C$3 * 0.01</f>
        <v>0.25565161006743453</v>
      </c>
      <c r="N151" s="206">
        <f>INDEX($A$145:$H$158,MATCH($L151,$B$145:$B$158,0),MATCH($M$144,$A$145:$H$145,0))*고양시_Modal_split!D$3 * 0.01</f>
        <v>42.940340076683732</v>
      </c>
      <c r="O151" s="206">
        <f>INDEX($A$145:$H$158,MATCH($L151,$B$145:$B$158,0),MATCH($M$144,$A$145:$H$145,0))*고양시_Modal_split!E$3 * 0.01</f>
        <v>5.1952059331560791</v>
      </c>
      <c r="P151" s="206">
        <f>INDEX($A$145:$H$158,MATCH($L151,$B$145:$B$158,0),MATCH($M$144,$A$145:$H$145,0))*고양시_Modal_split!F$3 * 0.01</f>
        <v>8.3725902297084804</v>
      </c>
      <c r="Q151" s="206">
        <f>INDEX($A$145:$H$158,MATCH($L151,$B$145:$B$158,0),MATCH($M$144,$A$145:$H$145,0))*고양시_Modal_split!G$3 * 0.01</f>
        <v>0.83999814736442779</v>
      </c>
      <c r="R151" s="206">
        <f>INDEX($A$145:$H$158,MATCH($L151,$B$145:$B$158,0),MATCH($M$144,$A$145:$H$145,0))*고양시_Modal_split!H$3 * 0.01</f>
        <v>9.1304146452655197E-3</v>
      </c>
      <c r="S151" s="206">
        <f>INDEX($A$145:$H$158,MATCH($L151,$B$145:$B$158,0),MATCH($M$144,$A$145:$H$145,0))*고양시_Modal_split!I$3 * 0.01</f>
        <v>2.538255271383814</v>
      </c>
      <c r="T151" s="206">
        <f>INDEX($A$145:$H$158,MATCH($L151,$B$145:$B$158,0),MATCH($M$144,$A$145:$H$145,0))*고양시_Modal_split!J$3 * 0.01</f>
        <v>27.792982180188243</v>
      </c>
      <c r="U151" s="206">
        <f>INDEX($A$145:$H$158,MATCH($L151,$B$145:$B$158,0),MATCH($M$144,$A$145:$H$145,0))*고양시_Modal_split!K$3 * 0.01</f>
        <v>0.13695621967898278</v>
      </c>
      <c r="V151" s="206">
        <f>INDEX($A$145:$H$158,MATCH($L151,$B$145:$B$158,0),MATCH($M$144,$A$145:$H$145,0))*고양시_Modal_split!L$3 * 0.01</f>
        <v>2.7573852228701869</v>
      </c>
      <c r="W151" s="206">
        <f>INDEX($A$145:$H$158,MATCH($L151,$B$145:$B$158,0),MATCH($M$144,$A$145:$H$145,0))*고양시_Modal_split!M$3 * 0.01</f>
        <v>0.20999953684110695</v>
      </c>
      <c r="X151" s="206">
        <f>INDEX($A$145:$H$158,MATCH($L151,$B$145:$B$158,0),MATCH($M$144,$A$145:$H$145,0))*고양시_Modal_split!N$3 * 0.01</f>
        <v>9.1304146452655194E-2</v>
      </c>
      <c r="Y151" s="206">
        <f>INDEX($A$145:$H$158,MATCH($L151,$B$145:$B$158,0),MATCH($M$144,$A$145:$H$145,0))*고양시_Modal_split!O$3 * 0.01</f>
        <v>0.16434746361477934</v>
      </c>
      <c r="Z151" s="209">
        <f>INDEX($A$145:$H$158,MATCH($L151,$B$145:$B$158,0),MATCH($M$144,$A$145:$H$145,0))*고양시_Modal_split!P$3 * 0.01</f>
        <v>91.304146452655189</v>
      </c>
      <c r="AA151" s="207">
        <f>INDEX($A$145:$H$158,MATCH($L151,$B$145:$B$158,0),MATCH($AA$144,$A$145:$H$145,0))*고양시_Modal_split!C$3 * 0.01</f>
        <v>1.8502030036995754</v>
      </c>
      <c r="AB151" s="207">
        <f>INDEX($A$145:$H$158,MATCH($L151,$B$145:$B$158,0),MATCH($AA$144,$A$145:$H$145,0))*고양시_Modal_split!D$3 * 0.01</f>
        <v>310.76802594282515</v>
      </c>
      <c r="AC151" s="207">
        <f>INDEX($A$145:$H$158,MATCH($L151,$B$145:$B$158,0),MATCH($AA$144,$A$145:$H$145,0))*고양시_Modal_split!E$3 * 0.01</f>
        <v>37.598768182323518</v>
      </c>
      <c r="AD151" s="207">
        <f>INDEX($A$145:$H$158,MATCH($L151,$B$145:$B$158,0),MATCH($AA$144,$A$145:$H$145,0))*고양시_Modal_split!F$3 * 0.01</f>
        <v>60.594148371161104</v>
      </c>
      <c r="AE151" s="207">
        <f>INDEX($A$145:$H$158,MATCH($L151,$B$145:$B$158,0),MATCH($AA$144,$A$145:$H$145,0))*고양시_Modal_split!G$3 * 0.01</f>
        <v>6.0792384407271767</v>
      </c>
      <c r="AF151" s="207">
        <f>INDEX($A$145:$H$158,MATCH($L151,$B$145:$B$158,0),MATCH($AA$144,$A$145:$H$145,0))*고양시_Modal_split!H$3 * 0.01</f>
        <v>6.6078678703556271E-2</v>
      </c>
      <c r="AG151" s="207">
        <f>INDEX($A$145:$H$158,MATCH($L151,$B$145:$B$158,0),MATCH($AA$144,$A$145:$H$145,0))*고양시_Modal_split!I$3 * 0.01</f>
        <v>18.369872679588642</v>
      </c>
      <c r="AH151" s="207">
        <f>INDEX($A$145:$H$158,MATCH($L151,$B$145:$B$158,0),MATCH($AA$144,$A$145:$H$145,0))*고양시_Modal_split!J$3 * 0.01</f>
        <v>201.1434979736253</v>
      </c>
      <c r="AI151" s="207">
        <f>INDEX($A$145:$H$158,MATCH($L151,$B$145:$B$158,0),MATCH($AA$144,$A$145:$H$145,0))*고양시_Modal_split!K$3 * 0.01</f>
        <v>0.991180180553344</v>
      </c>
      <c r="AJ151" s="207">
        <f>INDEX($A$145:$H$158,MATCH($L151,$B$145:$B$158,0),MATCH($AA$144,$A$145:$H$145,0))*고양시_Modal_split!L$3 * 0.01</f>
        <v>19.955760968473996</v>
      </c>
      <c r="AK151" s="207">
        <f>INDEX($A$145:$H$158,MATCH($L151,$B$145:$B$158,0),MATCH($AA$144,$A$145:$H$145,0))*고양시_Modal_split!M$3 * 0.01</f>
        <v>1.5198096101817942</v>
      </c>
      <c r="AL151" s="207">
        <f>INDEX($A$145:$H$158,MATCH($L151,$B$145:$B$158,0),MATCH($AA$144,$A$145:$H$145,0))*고양시_Modal_split!N$3 * 0.01</f>
        <v>0.66078678703556282</v>
      </c>
      <c r="AM151" s="207">
        <f>INDEX($A$145:$H$158,MATCH($L151,$B$145:$B$158,0),MATCH($AA$144,$A$145:$H$145,0))*고양시_Modal_split!O$3 * 0.01</f>
        <v>1.189416216664013</v>
      </c>
      <c r="AN151" s="207">
        <f>INDEX($A$145:$H$158,MATCH($L151,$B$145:$B$158,0),MATCH($AA$144,$A$145:$H$145,0))*고양시_Modal_split!P$3 * 0.01</f>
        <v>660.78678703556272</v>
      </c>
      <c r="AO151" s="303">
        <f>INDEX($A$145:$H$158,MATCH($L151,$B$145:$B$158,0),MATCH($AO$144,$A$145:$H$145,0))*고양시_Modal_split!C$3 * 0.01</f>
        <v>0.10614156668523964</v>
      </c>
      <c r="AP151" s="303">
        <f>INDEX($A$145:$H$158,MATCH($L151,$B$145:$B$158,0),MATCH($AO$144,$A$145:$H$145,0))*고양시_Modal_split!D$3 * 0.01</f>
        <v>17.827992432881501</v>
      </c>
      <c r="AQ151" s="303">
        <f>INDEX($A$145:$H$158,MATCH($L151,$B$145:$B$158,0),MATCH($AO$144,$A$145:$H$145,0))*고양시_Modal_split!E$3 * 0.01</f>
        <v>2.1569482658536199</v>
      </c>
      <c r="AR151" s="303">
        <f>INDEX($A$145:$H$158,MATCH($L151,$B$145:$B$158,0),MATCH($AO$144,$A$145:$H$145,0))*고양시_Modal_split!F$3 * 0.01</f>
        <v>3.4761363089415984</v>
      </c>
      <c r="AS151" s="303">
        <f>INDEX($A$145:$H$158,MATCH($L151,$B$145:$B$158,0),MATCH($AO$144,$A$145:$H$145,0))*고양시_Modal_split!G$3 * 0.01</f>
        <v>0.34875086196578736</v>
      </c>
      <c r="AT151" s="303">
        <f>INDEX($A$145:$H$158,MATCH($L151,$B$145:$B$158,0),MATCH($AO$144,$A$145:$H$145,0))*고양시_Modal_split!H$3 * 0.01</f>
        <v>3.7907702387585591E-3</v>
      </c>
      <c r="AU151" s="303">
        <f>INDEX($A$145:$H$158,MATCH($L151,$B$145:$B$158,0),MATCH($AO$144,$A$145:$H$145,0))*고양시_Modal_split!I$3 * 0.01</f>
        <v>1.0538341263748792</v>
      </c>
      <c r="AV151" s="303">
        <f>INDEX($A$145:$H$158,MATCH($L151,$B$145:$B$158,0),MATCH($AO$144,$A$145:$H$145,0))*고양시_Modal_split!J$3 * 0.01</f>
        <v>11.539104606781052</v>
      </c>
      <c r="AW151" s="303">
        <f>INDEX($A$145:$H$158,MATCH($L151,$B$145:$B$158,0),MATCH($AO$144,$A$145:$H$145,0))*고양시_Modal_split!K$3 * 0.01</f>
        <v>5.6861553581378378E-2</v>
      </c>
      <c r="AX151" s="303">
        <f>INDEX($A$145:$H$158,MATCH($L151,$B$145:$B$158,0),MATCH($AO$144,$A$145:$H$145,0))*고양시_Modal_split!L$3 * 0.01</f>
        <v>1.1448126121050848</v>
      </c>
      <c r="AY151" s="303">
        <f>INDEX($A$145:$H$158,MATCH($L151,$B$145:$B$158,0),MATCH($AO$144,$A$145:$H$145,0))*고양시_Modal_split!M$3 * 0.01</f>
        <v>8.7187715491446841E-2</v>
      </c>
      <c r="AZ151" s="303">
        <f>INDEX($A$145:$H$158,MATCH($L151,$B$145:$B$158,0),MATCH($AO$144,$A$145:$H$145,0))*고양시_Modal_split!N$3 * 0.01</f>
        <v>3.790770238758559E-2</v>
      </c>
      <c r="BA151" s="207">
        <f>INDEX($A$145:$H$158,MATCH($L151,$B$145:$B$158,0),MATCH($AO$144,$A$145:$H$145,0))*고양시_Modal_split!O$3 * 0.01</f>
        <v>6.8233864297654059E-2</v>
      </c>
      <c r="BB151" s="207">
        <f>INDEX($A$145:$H$158,MATCH($L151,$B$145:$B$158,0),MATCH($AO$144,$A$145:$H$145,0))*고양시_Modal_split!P$3 * 0.01</f>
        <v>37.907702387585587</v>
      </c>
      <c r="BC151" s="207">
        <f>INDEX($A$145:$H$158,MATCH($L151,$B$145:$B$158,0),MATCH($BC$144,$A$145:$H$145,0))*고양시_Modal_split!C$3 * 0.01</f>
        <v>1.6680183344982687E-4</v>
      </c>
      <c r="BD151" s="207">
        <f>INDEX($A$145:$H$158,MATCH($L151,$B$145:$B$158,0),MATCH($BC$144,$A$145:$H$145,0))*고양시_Modal_split!D$3 * 0.01</f>
        <v>2.8016750811233421E-2</v>
      </c>
      <c r="BE151" s="207">
        <f>INDEX($A$145:$H$158,MATCH($L151,$B$145:$B$158,0),MATCH($BC$144,$A$145:$H$145,0))*고양시_Modal_split!E$3 * 0.01</f>
        <v>3.3896515440339815E-3</v>
      </c>
      <c r="BF151" s="207">
        <f>INDEX($A$145:$H$158,MATCH($L151,$B$145:$B$158,0),MATCH($BC$144,$A$145:$H$145,0))*고양시_Modal_split!F$3 * 0.01</f>
        <v>5.4627600454818306E-3</v>
      </c>
      <c r="BG151" s="207">
        <f>INDEX($A$145:$H$158,MATCH($L151,$B$145:$B$158,0),MATCH($BC$144,$A$145:$H$145,0))*고양시_Modal_split!G$3 * 0.01</f>
        <v>5.4806316704943115E-4</v>
      </c>
      <c r="BH151" s="207">
        <f>INDEX($A$145:$H$158,MATCH($L151,$B$145:$B$158,0),MATCH($BC$144,$A$145:$H$145,0))*고양시_Modal_split!H$3 * 0.01</f>
        <v>5.9572083374938172E-6</v>
      </c>
      <c r="BI151" s="207">
        <f>INDEX($A$145:$H$158,MATCH($L151,$B$145:$B$158,0),MATCH($BC$144,$A$145:$H$145,0))*고양시_Modal_split!I$3 * 0.01</f>
        <v>1.6561039178232808E-3</v>
      </c>
      <c r="BJ151" s="207">
        <f>INDEX($A$145:$H$158,MATCH($L151,$B$145:$B$158,0),MATCH($BC$144,$A$145:$H$145,0))*고양시_Modal_split!J$3 * 0.01</f>
        <v>1.813374217933118E-2</v>
      </c>
      <c r="BK151" s="207">
        <f>INDEX($A$145:$H$158,MATCH($L151,$B$145:$B$158,0),MATCH($BC$144,$A$145:$H$145,0))*고양시_Modal_split!K$3 * 0.01</f>
        <v>8.9358125062407242E-5</v>
      </c>
      <c r="BL151" s="207">
        <f>INDEX($A$145:$H$158,MATCH($L151,$B$145:$B$158,0),MATCH($BC$144,$A$145:$H$145,0))*고양시_Modal_split!L$3 * 0.01</f>
        <v>1.7990769179231328E-3</v>
      </c>
      <c r="BM151" s="207">
        <f>INDEX($A$145:$H$158,MATCH($L151,$B$145:$B$158,0),MATCH($BC$144,$A$145:$H$145,0))*고양시_Modal_split!M$3 * 0.01</f>
        <v>1.3701579176235779E-4</v>
      </c>
      <c r="BN151" s="207">
        <f>INDEX($A$145:$H$158,MATCH($L151,$B$145:$B$158,0),MATCH($BC$144,$A$145:$H$145,0))*고양시_Modal_split!N$3 * 0.01</f>
        <v>5.957208337493817E-5</v>
      </c>
      <c r="BO151" s="207">
        <f>INDEX($A$145:$H$158,MATCH($L151,$B$145:$B$158,0),MATCH($BC$144,$A$145:$H$145,0))*고양시_Modal_split!O$3 * 0.01</f>
        <v>1.072297500748887E-4</v>
      </c>
      <c r="BP151" s="207">
        <f>INDEX($A$145:$H$158,MATCH($L151,$B$145:$B$158,0),MATCH($BC$144,$A$145:$H$145,0))*고양시_Modal_split!P$3 * 0.01</f>
        <v>5.9572083374938169E-2</v>
      </c>
      <c r="BQ151" s="207">
        <f>INDEX($A$145:$H$158,MATCH($L151,$B$145:$B$158,0),MATCH($BQ$144,$A$145:$H$145,0))*고양시_Modal_split!C$3 * 0.01</f>
        <v>6.3014025969934521E-4</v>
      </c>
      <c r="BR151" s="207">
        <f>INDEX($A$145:$H$158,MATCH($L151,$B$145:$B$158,0),MATCH($BQ$144,$A$145:$H$145,0))*고양시_Modal_split!D$3 * 0.01</f>
        <v>0.10584105862021505</v>
      </c>
      <c r="BS151" s="207">
        <f>INDEX($A$145:$H$158,MATCH($L151,$B$145:$B$158,0),MATCH($BQ$144,$A$145:$H$145,0))*고양시_Modal_split!E$3 * 0.01</f>
        <v>1.2805350277461696E-2</v>
      </c>
      <c r="BT151" s="207">
        <f>INDEX($A$145:$H$158,MATCH($L151,$B$145:$B$158,0),MATCH($BQ$144,$A$145:$H$145,0))*고양시_Modal_split!F$3 * 0.01</f>
        <v>2.063709350515356E-2</v>
      </c>
      <c r="BU151" s="207">
        <f>INDEX($A$145:$H$158,MATCH($L151,$B$145:$B$158,0),MATCH($BQ$144,$A$145:$H$145,0))*고양시_Modal_split!G$3 * 0.01</f>
        <v>2.0704608532978487E-3</v>
      </c>
      <c r="BV151" s="207">
        <f>INDEX($A$145:$H$158,MATCH($L151,$B$145:$B$158,0),MATCH($BQ$144,$A$145:$H$145,0))*고양시_Modal_split!H$3 * 0.01</f>
        <v>2.2505009274976619E-5</v>
      </c>
      <c r="BW151" s="207">
        <f>INDEX($A$145:$H$158,MATCH($L151,$B$145:$B$158,0),MATCH($BQ$144,$A$145:$H$145,0))*고양시_Modal_split!I$3 * 0.01</f>
        <v>6.2563925784435009E-3</v>
      </c>
      <c r="BX151" s="207">
        <f>INDEX($A$145:$H$158,MATCH($L151,$B$145:$B$158,0),MATCH($BQ$144,$A$145:$H$145,0))*고양시_Modal_split!J$3 * 0.01</f>
        <v>6.8505248233028837E-2</v>
      </c>
      <c r="BY151" s="207">
        <f>INDEX($A$145:$H$158,MATCH($L151,$B$145:$B$158,0),MATCH($BQ$144,$A$145:$H$145,0))*고양시_Modal_split!K$3 * 0.01</f>
        <v>3.3757513912464925E-4</v>
      </c>
      <c r="BZ151" s="207">
        <f>INDEX($A$145:$H$158,MATCH($L151,$B$145:$B$158,0),MATCH($BQ$144,$A$145:$H$145,0))*고양시_Modal_split!L$3 * 0.01</f>
        <v>6.7965128010429388E-3</v>
      </c>
      <c r="CA151" s="207">
        <f>INDEX($A$145:$H$158,MATCH($L151,$B$145:$B$158,0),MATCH($BQ$144,$A$145:$H$145,0))*고양시_Modal_split!M$3 * 0.01</f>
        <v>5.1761521332446218E-4</v>
      </c>
      <c r="CB151" s="207">
        <f>INDEX($A$145:$H$158,MATCH($L151,$B$145:$B$158,0),MATCH($BQ$144,$A$145:$H$145,0))*고양시_Modal_split!N$3 * 0.01</f>
        <v>2.2505009274976622E-4</v>
      </c>
      <c r="CC151" s="207">
        <f>INDEX($A$145:$H$158,MATCH($L151,$B$145:$B$158,0),MATCH($BQ$144,$A$145:$H$145,0))*고양시_Modal_split!O$3 * 0.01</f>
        <v>4.0509016694957915E-4</v>
      </c>
      <c r="CD151" s="207">
        <f>INDEX($A$145:$H$158,MATCH($L151,$B$145:$B$158,0),MATCH($BQ$144,$A$145:$H$145,0))*고양시_Modal_split!P$3 * 0.01</f>
        <v>0.2250500927497662</v>
      </c>
      <c r="CE151" s="304">
        <f t="shared" si="84"/>
        <v>2.2127931225453992</v>
      </c>
      <c r="CF151" s="304">
        <f t="shared" si="64"/>
        <v>371.67021626182185</v>
      </c>
      <c r="CG151" s="304">
        <f t="shared" si="65"/>
        <v>44.967117383154715</v>
      </c>
      <c r="CH151" s="304">
        <f t="shared" si="66"/>
        <v>72.468974763361828</v>
      </c>
      <c r="CI151" s="304">
        <f t="shared" si="67"/>
        <v>7.2706059740777391</v>
      </c>
      <c r="CJ151" s="304">
        <f t="shared" si="68"/>
        <v>7.9028325805192812E-2</v>
      </c>
      <c r="CK151" s="304">
        <f t="shared" si="69"/>
        <v>21.969874573843605</v>
      </c>
      <c r="CL151" s="304">
        <f t="shared" si="70"/>
        <v>240.56222375100697</v>
      </c>
      <c r="CM151" s="304">
        <f t="shared" si="71"/>
        <v>1.1854248870778923</v>
      </c>
      <c r="CN151" s="304">
        <f t="shared" si="72"/>
        <v>23.866554393168233</v>
      </c>
      <c r="CO151" s="304">
        <f t="shared" si="73"/>
        <v>1.8176514935194348</v>
      </c>
      <c r="CP151" s="304">
        <f t="shared" si="74"/>
        <v>0.79028325805192823</v>
      </c>
      <c r="CQ151" s="304">
        <f t="shared" si="75"/>
        <v>1.4225098644934708</v>
      </c>
      <c r="CR151" s="304">
        <f t="shared" si="76"/>
        <v>790.28325805192821</v>
      </c>
      <c r="CS151" s="305">
        <f t="shared" si="85"/>
        <v>0</v>
      </c>
      <c r="CV151" s="267"/>
      <c r="CW151" s="267" t="s">
        <v>13</v>
      </c>
      <c r="CX151" s="267">
        <f>INDEX($M$144:$Z$158,MATCH($CW151,$L$144:$L$158,0),MATCH(CX$145,$M$145:$Z$145,0))/INDEX(고양시_재차인원!$D$4:$H$35,MATCH("고양시",고양시_재차인원!$B$4:$B$35,0),MATCH($CX$144,고양시_재차인원!$D$4:$H$4,0))</f>
        <v>38.339589354181904</v>
      </c>
      <c r="CY151" s="267">
        <f>INDEX($M$144:$Z$158,MATCH($CW151,$L$144:$L$158,0),MATCH(CY$145,$M$145:$Z$145,0))/INDEX(고양시_재차인원!$K$4:$O$20,MATCH("경기도",고양시_재차인원!$K$4:$K$20,0),MATCH(CY$145,고양시_재차인원!$K$4:$O$4,0))</f>
        <v>3.1713840379525945E-4</v>
      </c>
      <c r="CZ151" s="267">
        <f>INDEX($M$144:$Z$158,MATCH($CW151,$L$144:$L$158,0),MATCH(CZ$145,$M$145:$Z$145,0))/INDEX(고양시_재차인원!$K$4:$O$20,MATCH("경기도",고양시_재차인원!$K$4:$K$20,0),MATCH(CZ$145,고양시_재차인원!$K$4:$O$4,0))</f>
        <v>8.8164476255082114E-2</v>
      </c>
      <c r="DA151" s="267">
        <f>INDEX($M$144:$Z$158,MATCH($CW151,$L$144:$L$158,0),MATCH(DA$145,$M$145:$Z$145,0))/INDEX(고양시_재차인원!$D$4:$H$35,MATCH("고양시",고양시_재차인원!$B$4:$B$35,0),MATCH($CX$144,고양시_재차인원!$D$4:$H$4,0))</f>
        <v>2.4619510918483809</v>
      </c>
      <c r="DB151" s="267">
        <f>INDEX($AA$144:$AN$158,MATCH($CW151,$L$144:$L$158,0),MATCH(DB$145,$AA$145:$AN$145,0))/INDEX(고양시_재차인원!$D$4:$H$35,MATCH("고양시",고양시_재차인원!$B$4:$B$35,0),MATCH($DB$144,고양시_재차인원!$D$4:$H$4,0))</f>
        <v>220.40285527859942</v>
      </c>
      <c r="DC151" s="267">
        <f>INDEX($AA$144:$AN$158,MATCH($CW151,$L$144:$L$158,0),MATCH(DC$145,$AA$145:$AN$145,0))/INDEX(고양시_재차인원!$K$4:$O$20,MATCH("경기도",고양시_재차인원!$K$4:$K$20,0),MATCH(DC$145,고양시_재차인원!$K$4:$O$4,0))</f>
        <v>2.2951955089807667E-3</v>
      </c>
      <c r="DD151" s="267">
        <f>INDEX($AA$144:$AN$158,MATCH($CW151,$L$144:$L$158,0),MATCH(DD$145,$AA$145:$AN$145,0))/INDEX(고양시_재차인원!$K$4:$O$20,MATCH("경기도",고양시_재차인원!$K$4:$K$20,0),MATCH(DD$145,고양시_재차인원!$K$4:$O$4,0))</f>
        <v>0.63806435149665308</v>
      </c>
      <c r="DE151" s="267">
        <f>INDEX($AA$144:$AN$158,MATCH($CW151,$L$144:$L$158,0),MATCH(DE$145,$AA$145:$AN$145,0))/INDEX(고양시_재차인원!$D$4:$H$35,MATCH("고양시",고양시_재차인원!$B$4:$B$35,0),MATCH($DB$144,고양시_재차인원!$D$4:$H$4,0))</f>
        <v>14.153021963456736</v>
      </c>
      <c r="DF151" s="267">
        <f>INDEX($AO$144:$BB$158,MATCH($CW151,$L$144:$L$158,0),MATCH(DF$145,$AO$145:$BB$145,0))/INDEX(고양시_재차인원!$D$4:$H$35,MATCH("고양시",고양시_재차인원!$B$4:$B$35,0),MATCH($DF$144,고양시_재차인원!$D$4:$H$4,0))</f>
        <v>13.71384033298577</v>
      </c>
      <c r="DG151" s="267">
        <f>INDEX($AO$144:$BB$158,MATCH($CW151,$L$144:$L$158,0),MATCH(DG$145,$AO$145:$BB$145,0))/INDEX(고양시_재차인원!$K$4:$O$20,MATCH("경기도",고양시_재차인원!$K$4:$K$20,0),MATCH(DG$145,고양시_재차인원!$K$4:$O$4,0))</f>
        <v>1.3166968526427783E-4</v>
      </c>
      <c r="DH151" s="267">
        <f>INDEX($AO$144:$BB$158,MATCH($CW151,$L$144:$L$158,0),MATCH(DH$145,$AO$145:$BB$145,0))/INDEX(고양시_재차인원!$K$4:$O$20,MATCH("경기도",고양시_재차인원!$K$4:$K$20,0),MATCH(DH$145,고양시_재차인원!$K$4:$O$4,0))</f>
        <v>3.6604172503469229E-2</v>
      </c>
      <c r="DI151" s="267">
        <f>INDEX($AO$144:$BB$158,MATCH($CW151,$L$144:$L$158,0),MATCH(DI$145,$AO$145:$BB$145,0))/INDEX(고양시_재차인원!$D$4:$H$35,MATCH("고양시",고양시_재차인원!$B$4:$B$35,0),MATCH($DF$144,고양시_재차인원!$D$4:$H$4,0))</f>
        <v>0.88062508623468061</v>
      </c>
      <c r="DJ151" s="267">
        <f>INDEX($BC$144:$BP$158,MATCH($CW151,$L$144:$L$158,0),MATCH(DJ$145,$BC$145:$BP$145,0))/INDEX(고양시_재차인원!$D$4:$H$35,MATCH("고양시",고양시_재차인원!$B$4:$B$35,0),MATCH($DJ$144,고양시_재차인원!$D$4:$H$4,0))</f>
        <v>2.0600552067083396E-2</v>
      </c>
      <c r="DK151" s="267">
        <f>INDEX($BC$144:$BP$158,MATCH($CW151,$L$144:$L$158,0),MATCH(DK$145,$BC$145:$BP$145,0))/INDEX(고양시_재차인원!$K$4:$O$20,MATCH("경기도",고양시_재차인원!$K$4:$K$20,0),MATCH(DK$145,고양시_재차인원!$K$4:$O$4,0))</f>
        <v>2.0691935871809021E-7</v>
      </c>
      <c r="DL151" s="267">
        <f>INDEX($BC$144:$BP$158,MATCH($CW151,$L$144:$L$158,0),MATCH(DL$145,$BC$145:$BP$145,0))/INDEX(고양시_재차인원!$K$4:$O$20,MATCH("경기도",고양시_재차인원!$K$4:$K$20,0),MATCH(DL$145,고양시_재차인원!$K$4:$O$4,0))</f>
        <v>5.752358172362907E-5</v>
      </c>
      <c r="DM151" s="267">
        <f>INDEX($BC$144:$BP$158,MATCH($CW151,$L$144:$L$158,0),MATCH(DM$145,$BC$145:$BP$145,0))/INDEX(고양시_재차인원!$D$4:$H$35,MATCH("고양시",고양시_재차인원!$B$4:$B$35,0),MATCH($DJ$144,고양시_재차인원!$D$4:$H$4,0))</f>
        <v>1.32285067494348E-3</v>
      </c>
      <c r="DN151" s="267">
        <f>INDEX($BQ$144:$CD$158,MATCH($CW151,$L$144:$L$158,0),MATCH(DN$145,$BQ$145:$CD$145,0))/INDEX(고양시_재차인원!$D$4:$H$35,MATCH("고양시",고양시_재차인원!$B$4:$B$35,0),MATCH($DN$144,고양시_재차인원!$D$4:$H$4,0))</f>
        <v>8.4000840174773841E-2</v>
      </c>
      <c r="DO151" s="267">
        <f>INDEX($BQ$144:$CD$158,MATCH($CW151,$L$144:$L$158,0),MATCH(DO$145,$BQ$145:$CD$145,0))/INDEX(고양시_재차인원!$K$4:$O$20,MATCH("경기도",고양시_재차인원!$K$4:$K$20,0),MATCH(DO$145,고양시_재차인원!$K$4:$O$4,0))</f>
        <v>7.8169535515722885E-7</v>
      </c>
      <c r="DP151" s="267">
        <f>INDEX($BQ$144:$CD$158,MATCH($CW151,$L$144:$L$158,0),MATCH(DP$145,$BQ$145:$CD$145,0))/INDEX(고양시_재차인원!$K$4:$O$20,MATCH("경기도",고양시_재차인원!$K$4:$K$20,0),MATCH(DP$145,고양시_재차인원!$K$4:$O$4,0))</f>
        <v>2.1731130873370967E-4</v>
      </c>
      <c r="DQ151" s="267">
        <f>INDEX($BQ$144:$CD$158,MATCH($CW151,$L$144:$L$158,0),MATCH(DQ$145,$BQ$145:$CD$145,0))/INDEX(고양시_재차인원!$D$4:$H$35,MATCH("고양시",고양시_재차인원!$B$4:$B$35,0),MATCH($DN$144,고양시_재차인원!$D$4:$H$4,0))</f>
        <v>5.3940577786055072E-3</v>
      </c>
      <c r="DR151" s="270">
        <f t="shared" si="86"/>
        <v>272.56088635800899</v>
      </c>
      <c r="DS151" s="270">
        <f t="shared" si="77"/>
        <v>2.7449922127541792E-3</v>
      </c>
      <c r="DT151" s="270">
        <f t="shared" si="78"/>
        <v>0.76310783514566183</v>
      </c>
      <c r="DU151" s="270">
        <f t="shared" si="79"/>
        <v>17.502315049993346</v>
      </c>
      <c r="DW151" s="278"/>
      <c r="DX151" s="278" t="s">
        <v>13</v>
      </c>
      <c r="DY151" s="281">
        <f t="shared" si="87"/>
        <v>290.06320140800233</v>
      </c>
      <c r="DZ151" s="281">
        <f t="shared" si="88"/>
        <v>0.76585282735841598</v>
      </c>
      <c r="EB151" s="278"/>
      <c r="EC151" s="278" t="s">
        <v>13</v>
      </c>
      <c r="ED151" s="281">
        <f t="shared" si="89"/>
        <v>290.06320140800233</v>
      </c>
      <c r="EE151" s="281">
        <f t="shared" si="80"/>
        <v>0.76585282735841598</v>
      </c>
      <c r="EL151" s="306" t="s">
        <v>12</v>
      </c>
      <c r="EM151" s="306" t="s">
        <v>362</v>
      </c>
      <c r="EN151" s="306">
        <v>22890.217400000001</v>
      </c>
      <c r="EO151" s="306">
        <v>0.3417724802282317</v>
      </c>
      <c r="EP151" s="307">
        <v>849106</v>
      </c>
      <c r="EQ151" s="308">
        <f t="shared" si="90"/>
        <v>64.477468378799401</v>
      </c>
      <c r="ER151" s="308">
        <f t="shared" si="91"/>
        <v>0.17023962784358238</v>
      </c>
      <c r="ET151" s="420" t="s">
        <v>12</v>
      </c>
      <c r="EU151" s="420" t="s">
        <v>362</v>
      </c>
      <c r="EV151" s="420">
        <v>22890.217400000001</v>
      </c>
      <c r="EW151" s="420">
        <v>0.3417724802282317</v>
      </c>
      <c r="EX151" s="421">
        <v>849106</v>
      </c>
      <c r="EY151" s="422">
        <f t="shared" si="92"/>
        <v>62.639860530003617</v>
      </c>
      <c r="EZ151" s="422">
        <f t="shared" si="81"/>
        <v>0.16538779845004029</v>
      </c>
      <c r="FA151">
        <v>0</v>
      </c>
      <c r="FD151" s="306" t="s">
        <v>12</v>
      </c>
      <c r="FE151" s="306" t="s">
        <v>362</v>
      </c>
      <c r="FF151" s="306">
        <v>22890.217400000001</v>
      </c>
      <c r="FG151" s="306">
        <v>0.3417724802282317</v>
      </c>
      <c r="FH151" s="307">
        <v>849106</v>
      </c>
      <c r="FI151" s="308">
        <f t="shared" si="82"/>
        <v>62.639860530003617</v>
      </c>
      <c r="FJ151" s="308">
        <f t="shared" si="83"/>
        <v>0.16538779845004029</v>
      </c>
      <c r="FL151" s="101"/>
      <c r="FM151" s="101"/>
      <c r="FN151" s="101"/>
      <c r="FO151" s="101"/>
      <c r="FP151" s="374"/>
      <c r="FQ151" s="404"/>
      <c r="FR151" s="404"/>
    </row>
    <row r="152" spans="1:174" ht="25">
      <c r="A152" s="205"/>
      <c r="B152" s="205" t="s">
        <v>301</v>
      </c>
      <c r="C152" s="400">
        <f>$AB67*KTDB_TripDistribution_2045!T$12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1603.4211393207895</v>
      </c>
      <c r="D152" s="400">
        <f>$AB67*KTDB_TripDistribution_2045!U$12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11604.286815890544</v>
      </c>
      <c r="E152" s="400">
        <f>$AB67*KTDB_TripDistribution_2045!V$12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665.70921160578155</v>
      </c>
      <c r="F152" s="400">
        <f>$AB67*KTDB_TripDistribution_2045!W$12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1.0461642927277885</v>
      </c>
      <c r="G152" s="400">
        <f>$AB67*KTDB_TripDistribution_2045!X$12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3.9521762169716417</v>
      </c>
      <c r="H152" s="400">
        <f>$AB67*KTDB_TripDistribution_2045!Y$12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13878.415507326814</v>
      </c>
      <c r="I152" s="56"/>
      <c r="J152" s="56"/>
      <c r="K152" s="206"/>
      <c r="L152" s="206" t="s">
        <v>301</v>
      </c>
      <c r="M152" s="206">
        <f>INDEX($A$145:$H$158,MATCH($L152,$B$145:$B$158,0),MATCH($M$144,$A$145:$H$145,0))*고양시_Modal_split!C$3 * 0.01</f>
        <v>4.48957919009821</v>
      </c>
      <c r="N152" s="206">
        <f>INDEX($A$145:$H$158,MATCH($L152,$B$145:$B$158,0),MATCH($M$144,$A$145:$H$145,0))*고양시_Modal_split!D$3 * 0.01</f>
        <v>754.0889618225674</v>
      </c>
      <c r="O152" s="206">
        <f>INDEX($A$145:$H$158,MATCH($L152,$B$145:$B$158,0),MATCH($M$144,$A$145:$H$145,0))*고양시_Modal_split!E$3 * 0.01</f>
        <v>91.234662827352921</v>
      </c>
      <c r="P152" s="206">
        <f>INDEX($A$145:$H$158,MATCH($L152,$B$145:$B$158,0),MATCH($M$144,$A$145:$H$145,0))*고양시_Modal_split!F$3 * 0.01</f>
        <v>147.0337184757164</v>
      </c>
      <c r="Q152" s="206">
        <f>INDEX($A$145:$H$158,MATCH($L152,$B$145:$B$158,0),MATCH($M$144,$A$145:$H$145,0))*고양시_Modal_split!G$3 * 0.01</f>
        <v>14.751474481751263</v>
      </c>
      <c r="R152" s="206">
        <f>INDEX($A$145:$H$158,MATCH($L152,$B$145:$B$158,0),MATCH($M$144,$A$145:$H$145,0))*고양시_Modal_split!H$3 * 0.01</f>
        <v>0.16034211393207895</v>
      </c>
      <c r="S152" s="206">
        <f>INDEX($A$145:$H$158,MATCH($L152,$B$145:$B$158,0),MATCH($M$144,$A$145:$H$145,0))*고양시_Modal_split!I$3 * 0.01</f>
        <v>44.575107673117948</v>
      </c>
      <c r="T152" s="206">
        <f>INDEX($A$145:$H$158,MATCH($L152,$B$145:$B$158,0),MATCH($M$144,$A$145:$H$145,0))*고양시_Modal_split!J$3 * 0.01</f>
        <v>488.08139480924837</v>
      </c>
      <c r="U152" s="206">
        <f>INDEX($A$145:$H$158,MATCH($L152,$B$145:$B$158,0),MATCH($M$144,$A$145:$H$145,0))*고양시_Modal_split!K$3 * 0.01</f>
        <v>2.4051317089811839</v>
      </c>
      <c r="V152" s="206">
        <f>INDEX($A$145:$H$158,MATCH($L152,$B$145:$B$158,0),MATCH($M$144,$A$145:$H$145,0))*고양시_Modal_split!L$3 * 0.01</f>
        <v>48.423318407487841</v>
      </c>
      <c r="W152" s="206">
        <f>INDEX($A$145:$H$158,MATCH($L152,$B$145:$B$158,0),MATCH($M$144,$A$145:$H$145,0))*고양시_Modal_split!M$3 * 0.01</f>
        <v>3.6878686204378157</v>
      </c>
      <c r="X152" s="206">
        <f>INDEX($A$145:$H$158,MATCH($L152,$B$145:$B$158,0),MATCH($M$144,$A$145:$H$145,0))*고양시_Modal_split!N$3 * 0.01</f>
        <v>1.6034211393207898</v>
      </c>
      <c r="Y152" s="206">
        <f>INDEX($A$145:$H$158,MATCH($L152,$B$145:$B$158,0),MATCH($M$144,$A$145:$H$145,0))*고양시_Modal_split!O$3 * 0.01</f>
        <v>2.8861580507774209</v>
      </c>
      <c r="Z152" s="209">
        <f>INDEX($A$145:$H$158,MATCH($L152,$B$145:$B$158,0),MATCH($M$144,$A$145:$H$145,0))*고양시_Modal_split!P$3 * 0.01</f>
        <v>1603.4211393207895</v>
      </c>
      <c r="AA152" s="207">
        <f>INDEX($A$145:$H$158,MATCH($L152,$B$145:$B$158,0),MATCH($AA$144,$A$145:$H$145,0))*고양시_Modal_split!C$3 * 0.01</f>
        <v>32.492003084493525</v>
      </c>
      <c r="AB152" s="207">
        <f>INDEX($A$145:$H$158,MATCH($L152,$B$145:$B$158,0),MATCH($AA$144,$A$145:$H$145,0))*고양시_Modal_split!D$3 * 0.01</f>
        <v>5457.4960895133227</v>
      </c>
      <c r="AC152" s="207">
        <f>INDEX($A$145:$H$158,MATCH($L152,$B$145:$B$158,0),MATCH($AA$144,$A$145:$H$145,0))*고양시_Modal_split!E$3 * 0.01</f>
        <v>660.2839198241719</v>
      </c>
      <c r="AD152" s="207">
        <f>INDEX($A$145:$H$158,MATCH($L152,$B$145:$B$158,0),MATCH($AA$144,$A$145:$H$145,0))*고양시_Modal_split!F$3 * 0.01</f>
        <v>1064.1131010171628</v>
      </c>
      <c r="AE152" s="207">
        <f>INDEX($A$145:$H$158,MATCH($L152,$B$145:$B$158,0),MATCH($AA$144,$A$145:$H$145,0))*고양시_Modal_split!G$3 * 0.01</f>
        <v>106.759438706193</v>
      </c>
      <c r="AF152" s="207">
        <f>INDEX($A$145:$H$158,MATCH($L152,$B$145:$B$158,0),MATCH($AA$144,$A$145:$H$145,0))*고양시_Modal_split!H$3 * 0.01</f>
        <v>1.1604286815890543</v>
      </c>
      <c r="AG152" s="207">
        <f>INDEX($A$145:$H$158,MATCH($L152,$B$145:$B$158,0),MATCH($AA$144,$A$145:$H$145,0))*고양시_Modal_split!I$3 * 0.01</f>
        <v>322.59917348175708</v>
      </c>
      <c r="AH152" s="207">
        <f>INDEX($A$145:$H$158,MATCH($L152,$B$145:$B$158,0),MATCH($AA$144,$A$145:$H$145,0))*고양시_Modal_split!J$3 * 0.01</f>
        <v>3532.3449067570818</v>
      </c>
      <c r="AI152" s="207">
        <f>INDEX($A$145:$H$158,MATCH($L152,$B$145:$B$158,0),MATCH($AA$144,$A$145:$H$145,0))*고양시_Modal_split!K$3 * 0.01</f>
        <v>17.406430223835816</v>
      </c>
      <c r="AJ152" s="207">
        <f>INDEX($A$145:$H$158,MATCH($L152,$B$145:$B$158,0),MATCH($AA$144,$A$145:$H$145,0))*고양시_Modal_split!L$3 * 0.01</f>
        <v>350.44946183989441</v>
      </c>
      <c r="AK152" s="207">
        <f>INDEX($A$145:$H$158,MATCH($L152,$B$145:$B$158,0),MATCH($AA$144,$A$145:$H$145,0))*고양시_Modal_split!M$3 * 0.01</f>
        <v>26.689859676548249</v>
      </c>
      <c r="AL152" s="207">
        <f>INDEX($A$145:$H$158,MATCH($L152,$B$145:$B$158,0),MATCH($AA$144,$A$145:$H$145,0))*고양시_Modal_split!N$3 * 0.01</f>
        <v>11.604286815890545</v>
      </c>
      <c r="AM152" s="207">
        <f>INDEX($A$145:$H$158,MATCH($L152,$B$145:$B$158,0),MATCH($AA$144,$A$145:$H$145,0))*고양시_Modal_split!O$3 * 0.01</f>
        <v>20.887716268602983</v>
      </c>
      <c r="AN152" s="207">
        <f>INDEX($A$145:$H$158,MATCH($L152,$B$145:$B$158,0),MATCH($AA$144,$A$145:$H$145,0))*고양시_Modal_split!P$3 * 0.01</f>
        <v>11604.286815890544</v>
      </c>
      <c r="AO152" s="303">
        <f>INDEX($A$145:$H$158,MATCH($L152,$B$145:$B$158,0),MATCH($AO$144,$A$145:$H$145,0))*고양시_Modal_split!C$3 * 0.01</f>
        <v>1.8639857924961882</v>
      </c>
      <c r="AP152" s="303">
        <f>INDEX($A$145:$H$158,MATCH($L152,$B$145:$B$158,0),MATCH($AO$144,$A$145:$H$145,0))*고양시_Modal_split!D$3 * 0.01</f>
        <v>313.08304221819907</v>
      </c>
      <c r="AQ152" s="303">
        <f>INDEX($A$145:$H$158,MATCH($L152,$B$145:$B$158,0),MATCH($AO$144,$A$145:$H$145,0))*고양시_Modal_split!E$3 * 0.01</f>
        <v>37.878854140368965</v>
      </c>
      <c r="AR152" s="303">
        <f>INDEX($A$145:$H$158,MATCH($L152,$B$145:$B$158,0),MATCH($AO$144,$A$145:$H$145,0))*고양시_Modal_split!F$3 * 0.01</f>
        <v>61.045534704250166</v>
      </c>
      <c r="AS152" s="303">
        <f>INDEX($A$145:$H$158,MATCH($L152,$B$145:$B$158,0),MATCH($AO$144,$A$145:$H$145,0))*고양시_Modal_split!G$3 * 0.01</f>
        <v>6.12452474677319</v>
      </c>
      <c r="AT152" s="303">
        <f>INDEX($A$145:$H$158,MATCH($L152,$B$145:$B$158,0),MATCH($AO$144,$A$145:$H$145,0))*고양시_Modal_split!H$3 * 0.01</f>
        <v>6.6570921160578153E-2</v>
      </c>
      <c r="AU152" s="303">
        <f>INDEX($A$145:$H$158,MATCH($L152,$B$145:$B$158,0),MATCH($AO$144,$A$145:$H$145,0))*고양시_Modal_split!I$3 * 0.01</f>
        <v>18.506716082640725</v>
      </c>
      <c r="AV152" s="303">
        <f>INDEX($A$145:$H$158,MATCH($L152,$B$145:$B$158,0),MATCH($AO$144,$A$145:$H$145,0))*고양시_Modal_split!J$3 * 0.01</f>
        <v>202.64188401279992</v>
      </c>
      <c r="AW152" s="303">
        <f>INDEX($A$145:$H$158,MATCH($L152,$B$145:$B$158,0),MATCH($AO$144,$A$145:$H$145,0))*고양시_Modal_split!K$3 * 0.01</f>
        <v>0.99856381740867239</v>
      </c>
      <c r="AX152" s="303">
        <f>INDEX($A$145:$H$158,MATCH($L152,$B$145:$B$158,0),MATCH($AO$144,$A$145:$H$145,0))*고양시_Modal_split!L$3 * 0.01</f>
        <v>20.104418190494602</v>
      </c>
      <c r="AY152" s="303">
        <f>INDEX($A$145:$H$158,MATCH($L152,$B$145:$B$158,0),MATCH($AO$144,$A$145:$H$145,0))*고양시_Modal_split!M$3 * 0.01</f>
        <v>1.5311311866932975</v>
      </c>
      <c r="AZ152" s="303">
        <f>INDEX($A$145:$H$158,MATCH($L152,$B$145:$B$158,0),MATCH($AO$144,$A$145:$H$145,0))*고양시_Modal_split!N$3 * 0.01</f>
        <v>0.66570921160578156</v>
      </c>
      <c r="BA152" s="207">
        <f>INDEX($A$145:$H$158,MATCH($L152,$B$145:$B$158,0),MATCH($AO$144,$A$145:$H$145,0))*고양시_Modal_split!O$3 * 0.01</f>
        <v>1.1982765808904068</v>
      </c>
      <c r="BB152" s="207">
        <f>INDEX($A$145:$H$158,MATCH($L152,$B$145:$B$158,0),MATCH($AO$144,$A$145:$H$145,0))*고양시_Modal_split!P$3 * 0.01</f>
        <v>665.70921160578166</v>
      </c>
      <c r="BC152" s="207">
        <f>INDEX($A$145:$H$158,MATCH($L152,$B$145:$B$158,0),MATCH($BC$144,$A$145:$H$145,0))*고양시_Modal_split!C$3 * 0.01</f>
        <v>2.9292600196378078E-3</v>
      </c>
      <c r="BD152" s="207">
        <f>INDEX($A$145:$H$158,MATCH($L152,$B$145:$B$158,0),MATCH($BC$144,$A$145:$H$145,0))*고양시_Modal_split!D$3 * 0.01</f>
        <v>0.492011066869879</v>
      </c>
      <c r="BE152" s="207">
        <f>INDEX($A$145:$H$158,MATCH($L152,$B$145:$B$158,0),MATCH($BC$144,$A$145:$H$145,0))*고양시_Modal_split!E$3 * 0.01</f>
        <v>5.9526748256211168E-2</v>
      </c>
      <c r="BF152" s="207">
        <f>INDEX($A$145:$H$158,MATCH($L152,$B$145:$B$158,0),MATCH($BC$144,$A$145:$H$145,0))*고양시_Modal_split!F$3 * 0.01</f>
        <v>9.5933265643138213E-2</v>
      </c>
      <c r="BG152" s="207">
        <f>INDEX($A$145:$H$158,MATCH($L152,$B$145:$B$158,0),MATCH($BC$144,$A$145:$H$145,0))*고양시_Modal_split!G$3 * 0.01</f>
        <v>9.6247114930956539E-3</v>
      </c>
      <c r="BH152" s="207">
        <f>INDEX($A$145:$H$158,MATCH($L152,$B$145:$B$158,0),MATCH($BC$144,$A$145:$H$145,0))*고양시_Modal_split!H$3 * 0.01</f>
        <v>1.0461642927277885E-4</v>
      </c>
      <c r="BI152" s="207">
        <f>INDEX($A$145:$H$158,MATCH($L152,$B$145:$B$158,0),MATCH($BC$144,$A$145:$H$145,0))*고양시_Modal_split!I$3 * 0.01</f>
        <v>2.9083367337832518E-2</v>
      </c>
      <c r="BJ152" s="207">
        <f>INDEX($A$145:$H$158,MATCH($L152,$B$145:$B$158,0),MATCH($BC$144,$A$145:$H$145,0))*고양시_Modal_split!J$3 * 0.01</f>
        <v>0.31845241070633884</v>
      </c>
      <c r="BK152" s="207">
        <f>INDEX($A$145:$H$158,MATCH($L152,$B$145:$B$158,0),MATCH($BC$144,$A$145:$H$145,0))*고양시_Modal_split!K$3 * 0.01</f>
        <v>1.5692464390916828E-3</v>
      </c>
      <c r="BL152" s="207">
        <f>INDEX($A$145:$H$158,MATCH($L152,$B$145:$B$158,0),MATCH($BC$144,$A$145:$H$145,0))*고양시_Modal_split!L$3 * 0.01</f>
        <v>3.1594161640379211E-2</v>
      </c>
      <c r="BM152" s="207">
        <f>INDEX($A$145:$H$158,MATCH($L152,$B$145:$B$158,0),MATCH($BC$144,$A$145:$H$145,0))*고양시_Modal_split!M$3 * 0.01</f>
        <v>2.4061778732739135E-3</v>
      </c>
      <c r="BN152" s="207">
        <f>INDEX($A$145:$H$158,MATCH($L152,$B$145:$B$158,0),MATCH($BC$144,$A$145:$H$145,0))*고양시_Modal_split!N$3 * 0.01</f>
        <v>1.0461642927277887E-3</v>
      </c>
      <c r="BO152" s="207">
        <f>INDEX($A$145:$H$158,MATCH($L152,$B$145:$B$158,0),MATCH($BC$144,$A$145:$H$145,0))*고양시_Modal_split!O$3 * 0.01</f>
        <v>1.8830957269100194E-3</v>
      </c>
      <c r="BP152" s="207">
        <f>INDEX($A$145:$H$158,MATCH($L152,$B$145:$B$158,0),MATCH($BC$144,$A$145:$H$145,0))*고양시_Modal_split!P$3 * 0.01</f>
        <v>1.0461642927277885</v>
      </c>
      <c r="BQ152" s="207">
        <f>INDEX($A$145:$H$158,MATCH($L152,$B$145:$B$158,0),MATCH($BQ$144,$A$145:$H$145,0))*고양시_Modal_split!C$3 * 0.01</f>
        <v>1.1066093407520596E-2</v>
      </c>
      <c r="BR152" s="207">
        <f>INDEX($A$145:$H$158,MATCH($L152,$B$145:$B$158,0),MATCH($BQ$144,$A$145:$H$145,0))*고양시_Modal_split!D$3 * 0.01</f>
        <v>1.8587084748417633</v>
      </c>
      <c r="BS152" s="207">
        <f>INDEX($A$145:$H$158,MATCH($L152,$B$145:$B$158,0),MATCH($BQ$144,$A$145:$H$145,0))*고양시_Modal_split!E$3 * 0.01</f>
        <v>0.22487882674568638</v>
      </c>
      <c r="BT152" s="207">
        <f>INDEX($A$145:$H$158,MATCH($L152,$B$145:$B$158,0),MATCH($BQ$144,$A$145:$H$145,0))*고양시_Modal_split!F$3 * 0.01</f>
        <v>0.36241455909629955</v>
      </c>
      <c r="BU152" s="207">
        <f>INDEX($A$145:$H$158,MATCH($L152,$B$145:$B$158,0),MATCH($BQ$144,$A$145:$H$145,0))*고양시_Modal_split!G$3 * 0.01</f>
        <v>3.6360021196139097E-2</v>
      </c>
      <c r="BV152" s="207">
        <f>INDEX($A$145:$H$158,MATCH($L152,$B$145:$B$158,0),MATCH($BQ$144,$A$145:$H$145,0))*고양시_Modal_split!H$3 * 0.01</f>
        <v>3.9521762169716419E-4</v>
      </c>
      <c r="BW152" s="207">
        <f>INDEX($A$145:$H$158,MATCH($L152,$B$145:$B$158,0),MATCH($BQ$144,$A$145:$H$145,0))*고양시_Modal_split!I$3 * 0.01</f>
        <v>0.10987049883181163</v>
      </c>
      <c r="BX152" s="207">
        <f>INDEX($A$145:$H$158,MATCH($L152,$B$145:$B$158,0),MATCH($BQ$144,$A$145:$H$145,0))*고양시_Modal_split!J$3 * 0.01</f>
        <v>1.2030424404461679</v>
      </c>
      <c r="BY152" s="207">
        <f>INDEX($A$145:$H$158,MATCH($L152,$B$145:$B$158,0),MATCH($BQ$144,$A$145:$H$145,0))*고양시_Modal_split!K$3 * 0.01</f>
        <v>5.9282643254574621E-3</v>
      </c>
      <c r="BZ152" s="207">
        <f>INDEX($A$145:$H$158,MATCH($L152,$B$145:$B$158,0),MATCH($BQ$144,$A$145:$H$145,0))*고양시_Modal_split!L$3 * 0.01</f>
        <v>0.11935572175254358</v>
      </c>
      <c r="CA152" s="207">
        <f>INDEX($A$145:$H$158,MATCH($L152,$B$145:$B$158,0),MATCH($BQ$144,$A$145:$H$145,0))*고양시_Modal_split!M$3 * 0.01</f>
        <v>9.0900052990347743E-3</v>
      </c>
      <c r="CB152" s="207">
        <f>INDEX($A$145:$H$158,MATCH($L152,$B$145:$B$158,0),MATCH($BQ$144,$A$145:$H$145,0))*고양시_Modal_split!N$3 * 0.01</f>
        <v>3.952176216971642E-3</v>
      </c>
      <c r="CC152" s="207">
        <f>INDEX($A$145:$H$158,MATCH($L152,$B$145:$B$158,0),MATCH($BQ$144,$A$145:$H$145,0))*고양시_Modal_split!O$3 * 0.01</f>
        <v>7.1139171905489551E-3</v>
      </c>
      <c r="CD152" s="207">
        <f>INDEX($A$145:$H$158,MATCH($L152,$B$145:$B$158,0),MATCH($BQ$144,$A$145:$H$145,0))*고양시_Modal_split!P$3 * 0.01</f>
        <v>3.9521762169716421</v>
      </c>
      <c r="CE152" s="304">
        <f t="shared" si="84"/>
        <v>38.859563420515087</v>
      </c>
      <c r="CF152" s="304">
        <f t="shared" si="64"/>
        <v>6527.0188130958004</v>
      </c>
      <c r="CG152" s="304">
        <f t="shared" si="65"/>
        <v>789.68184236689569</v>
      </c>
      <c r="CH152" s="304">
        <f t="shared" si="66"/>
        <v>1272.6507020218689</v>
      </c>
      <c r="CI152" s="304">
        <f t="shared" si="67"/>
        <v>127.68142266740668</v>
      </c>
      <c r="CJ152" s="304">
        <f t="shared" si="68"/>
        <v>1.3878415507326813</v>
      </c>
      <c r="CK152" s="304">
        <f t="shared" si="69"/>
        <v>385.81995110368536</v>
      </c>
      <c r="CL152" s="304">
        <f t="shared" si="70"/>
        <v>4224.5896804302829</v>
      </c>
      <c r="CM152" s="304">
        <f t="shared" si="71"/>
        <v>20.817623260990224</v>
      </c>
      <c r="CN152" s="304">
        <f t="shared" si="72"/>
        <v>419.12814832126975</v>
      </c>
      <c r="CO152" s="304">
        <f t="shared" si="73"/>
        <v>31.92035566685167</v>
      </c>
      <c r="CP152" s="304">
        <f t="shared" si="74"/>
        <v>13.878415507326816</v>
      </c>
      <c r="CQ152" s="304">
        <f t="shared" si="75"/>
        <v>24.98114791318827</v>
      </c>
      <c r="CR152" s="304">
        <f t="shared" si="76"/>
        <v>13878.415507326814</v>
      </c>
      <c r="CS152" s="305">
        <f t="shared" si="85"/>
        <v>0</v>
      </c>
      <c r="CV152" s="267"/>
      <c r="CW152" s="267" t="s">
        <v>301</v>
      </c>
      <c r="CX152" s="267">
        <f>INDEX($M$144:$Z$158,MATCH($CW152,$L$144:$L$158,0),MATCH(CX$145,$M$145:$Z$145,0))/INDEX(고양시_재차인원!$D$4:$H$35,MATCH("고양시",고양시_재차인원!$B$4:$B$35,0),MATCH($CX$144,고양시_재차인원!$D$4:$H$4,0))</f>
        <v>673.29371591300651</v>
      </c>
      <c r="CY152" s="267">
        <f>INDEX($M$144:$Z$158,MATCH($CW152,$L$144:$L$158,0),MATCH(CY$145,$M$145:$Z$145,0))/INDEX(고양시_재차인원!$K$4:$O$20,MATCH("경기도",고양시_재차인원!$K$4:$K$20,0),MATCH(CY$145,고양시_재차인원!$K$4:$O$4,0))</f>
        <v>5.5693683199749553E-3</v>
      </c>
      <c r="CZ152" s="267">
        <f>INDEX($M$144:$Z$158,MATCH($CW152,$L$144:$L$158,0),MATCH(CZ$145,$M$145:$Z$145,0))/INDEX(고양시_재차인원!$K$4:$O$20,MATCH("경기도",고양시_재차인원!$K$4:$K$20,0),MATCH(CZ$145,고양시_재차인원!$K$4:$O$4,0))</f>
        <v>1.5482843929530374</v>
      </c>
      <c r="DA152" s="267">
        <f>INDEX($M$144:$Z$158,MATCH($CW152,$L$144:$L$158,0),MATCH(DA$145,$M$145:$Z$145,0))/INDEX(고양시_재차인원!$D$4:$H$35,MATCH("고양시",고양시_재차인원!$B$4:$B$35,0),MATCH($CX$144,고양시_재차인원!$D$4:$H$4,0))</f>
        <v>43.235105720971283</v>
      </c>
      <c r="DB152" s="267">
        <f>INDEX($AA$144:$AN$158,MATCH($CW152,$L$144:$L$158,0),MATCH(DB$145,$AA$145:$AN$145,0))/INDEX(고양시_재차인원!$D$4:$H$35,MATCH("고양시",고양시_재차인원!$B$4:$B$35,0),MATCH($DB$144,고양시_재차인원!$D$4:$H$4,0))</f>
        <v>3870.5646024917182</v>
      </c>
      <c r="DC152" s="267">
        <f>INDEX($AA$144:$AN$158,MATCH($CW152,$L$144:$L$158,0),MATCH(DC$145,$AA$145:$AN$145,0))/INDEX(고양시_재차인원!$K$4:$O$20,MATCH("경기도",고양시_재차인원!$K$4:$K$20,0),MATCH(DC$145,고양시_재차인원!$K$4:$O$4,0))</f>
        <v>4.0306657922509703E-2</v>
      </c>
      <c r="DD152" s="267">
        <f>INDEX($AA$144:$AN$158,MATCH($CW152,$L$144:$L$158,0),MATCH(DD$145,$AA$145:$AN$145,0))/INDEX(고양시_재차인원!$K$4:$O$20,MATCH("경기도",고양시_재차인원!$K$4:$K$20,0),MATCH(DD$145,고양시_재차인원!$K$4:$O$4,0))</f>
        <v>11.205250902457697</v>
      </c>
      <c r="DE152" s="267">
        <f>INDEX($AA$144:$AN$158,MATCH($CW152,$L$144:$L$158,0),MATCH(DE$145,$AA$145:$AN$145,0))/INDEX(고양시_재차인원!$D$4:$H$35,MATCH("고양시",고양시_재차인원!$B$4:$B$35,0),MATCH($DB$144,고양시_재차인원!$D$4:$H$4,0))</f>
        <v>248.5457176169464</v>
      </c>
      <c r="DF152" s="267">
        <f>INDEX($AO$144:$BB$158,MATCH($CW152,$L$144:$L$158,0),MATCH(DF$145,$AO$145:$BB$145,0))/INDEX(고양시_재차인원!$D$4:$H$35,MATCH("고양시",고양시_재차인원!$B$4:$B$35,0),MATCH($DF$144,고양시_재차인원!$D$4:$H$4,0))</f>
        <v>240.83310939861465</v>
      </c>
      <c r="DG152" s="267">
        <f>INDEX($AO$144:$BB$158,MATCH($CW152,$L$144:$L$158,0),MATCH(DG$145,$AO$145:$BB$145,0))/INDEX(고양시_재차인원!$K$4:$O$20,MATCH("경기도",고양시_재차인원!$K$4:$K$20,0),MATCH(DG$145,고양시_재차인원!$K$4:$O$4,0))</f>
        <v>2.3122931976581507E-3</v>
      </c>
      <c r="DH152" s="267">
        <f>INDEX($AO$144:$BB$158,MATCH($CW152,$L$144:$L$158,0),MATCH(DH$145,$AO$145:$BB$145,0))/INDEX(고양시_재차인원!$K$4:$O$20,MATCH("경기도",고양시_재차인원!$K$4:$K$20,0),MATCH(DH$145,고양시_재차인원!$K$4:$O$4,0))</f>
        <v>0.64281750894896583</v>
      </c>
      <c r="DI152" s="267">
        <f>INDEX($AO$144:$BB$158,MATCH($CW152,$L$144:$L$158,0),MATCH(DI$145,$AO$145:$BB$145,0))/INDEX(고양시_재차인원!$D$4:$H$35,MATCH("고양시",고양시_재차인원!$B$4:$B$35,0),MATCH($DF$144,고양시_재차인원!$D$4:$H$4,0))</f>
        <v>15.464937069611231</v>
      </c>
      <c r="DJ152" s="267">
        <f>INDEX($BC$144:$BP$158,MATCH($CW152,$L$144:$L$158,0),MATCH(DJ$145,$BC$145:$BP$145,0))/INDEX(고양시_재차인원!$D$4:$H$35,MATCH("고양시",고양시_재차인원!$B$4:$B$35,0),MATCH($DJ$144,고양시_재차인원!$D$4:$H$4,0))</f>
        <v>0.36177284328667569</v>
      </c>
      <c r="DK152" s="267">
        <f>INDEX($BC$144:$BP$158,MATCH($CW152,$L$144:$L$158,0),MATCH(DK$145,$BC$145:$BP$145,0))/INDEX(고양시_재차인원!$K$4:$O$20,MATCH("경기도",고양시_재차인원!$K$4:$K$20,0),MATCH(DK$145,고양시_재차인원!$K$4:$O$4,0))</f>
        <v>3.6337766333024959E-6</v>
      </c>
      <c r="DL152" s="267">
        <f>INDEX($BC$144:$BP$158,MATCH($CW152,$L$144:$L$158,0),MATCH(DL$145,$BC$145:$BP$145,0))/INDEX(고양시_재차인원!$K$4:$O$20,MATCH("경기도",고양시_재차인원!$K$4:$K$20,0),MATCH(DL$145,고양시_재차인원!$K$4:$O$4,0))</f>
        <v>1.0101899040580937E-3</v>
      </c>
      <c r="DM152" s="267">
        <f>INDEX($BC$144:$BP$158,MATCH($CW152,$L$144:$L$158,0),MATCH(DM$145,$BC$145:$BP$145,0))/INDEX(고양시_재차인원!$D$4:$H$35,MATCH("고양시",고양시_재차인원!$B$4:$B$35,0),MATCH($DJ$144,고양시_재차인원!$D$4:$H$4,0))</f>
        <v>2.3231001206161183E-2</v>
      </c>
      <c r="DN152" s="267">
        <f>INDEX($BQ$144:$CD$158,MATCH($CW152,$L$144:$L$158,0),MATCH(DN$145,$BQ$145:$CD$145,0))/INDEX(고양시_재차인원!$D$4:$H$35,MATCH("고양시",고양시_재차인원!$B$4:$B$35,0),MATCH($DN$144,고양시_재차인원!$D$4:$H$4,0))</f>
        <v>1.4751654562236216</v>
      </c>
      <c r="DO152" s="267">
        <f>INDEX($BQ$144:$CD$158,MATCH($CW152,$L$144:$L$158,0),MATCH(DO$145,$BQ$145:$CD$145,0))/INDEX(고양시_재차인원!$K$4:$O$20,MATCH("경기도",고양시_재차인원!$K$4:$K$20,0),MATCH(DO$145,고양시_재차인원!$K$4:$O$4,0))</f>
        <v>1.3727600614698305E-5</v>
      </c>
      <c r="DP152" s="267">
        <f>INDEX($BQ$144:$CD$158,MATCH($CW152,$L$144:$L$158,0),MATCH(DP$145,$BQ$145:$CD$145,0))/INDEX(고양시_재차인원!$K$4:$O$20,MATCH("경기도",고양시_재차인원!$K$4:$K$20,0),MATCH(DP$145,고양시_재차인원!$K$4:$O$4,0))</f>
        <v>3.8162729708861283E-3</v>
      </c>
      <c r="DQ152" s="267">
        <f>INDEX($BQ$144:$CD$158,MATCH($CW152,$L$144:$L$158,0),MATCH(DQ$145,$BQ$145:$CD$145,0))/INDEX(고양시_재차인원!$D$4:$H$35,MATCH("고양시",고양시_재차인원!$B$4:$B$35,0),MATCH($DN$144,고양시_재차인원!$D$4:$H$4,0))</f>
        <v>9.4726763295669508E-2</v>
      </c>
      <c r="DR152" s="270">
        <f t="shared" si="86"/>
        <v>4786.5283661028488</v>
      </c>
      <c r="DS152" s="270">
        <f t="shared" si="77"/>
        <v>4.8205680817390809E-2</v>
      </c>
      <c r="DT152" s="270">
        <f t="shared" si="78"/>
        <v>13.401179267234644</v>
      </c>
      <c r="DU152" s="270">
        <f t="shared" si="79"/>
        <v>307.36371817203076</v>
      </c>
      <c r="DW152" s="278"/>
      <c r="DX152" s="278" t="s">
        <v>301</v>
      </c>
      <c r="DY152" s="281">
        <f t="shared" si="87"/>
        <v>5093.8920842748794</v>
      </c>
      <c r="DZ152" s="281">
        <f t="shared" si="88"/>
        <v>13.449384948052035</v>
      </c>
      <c r="EB152" s="278"/>
      <c r="EC152" s="278" t="s">
        <v>301</v>
      </c>
      <c r="ED152" s="281">
        <f t="shared" si="89"/>
        <v>5093.8920842748794</v>
      </c>
      <c r="EE152" s="281">
        <f t="shared" si="80"/>
        <v>13.449384948052035</v>
      </c>
      <c r="EL152" s="306" t="s">
        <v>12</v>
      </c>
      <c r="EM152" s="306" t="s">
        <v>363</v>
      </c>
      <c r="EN152" s="306">
        <v>10963.124400000001</v>
      </c>
      <c r="EO152" s="306">
        <v>0.16368976107840044</v>
      </c>
      <c r="EP152" s="307">
        <v>849107</v>
      </c>
      <c r="EQ152" s="308">
        <f t="shared" si="90"/>
        <v>30.881074411894588</v>
      </c>
      <c r="ER152" s="308">
        <f t="shared" si="91"/>
        <v>8.1535189694567828E-2</v>
      </c>
      <c r="ET152" s="420" t="s">
        <v>12</v>
      </c>
      <c r="EU152" s="420" t="s">
        <v>363</v>
      </c>
      <c r="EV152" s="420">
        <v>10963.124400000001</v>
      </c>
      <c r="EW152" s="420">
        <v>0.16368976107840044</v>
      </c>
      <c r="EX152" s="421">
        <v>849107</v>
      </c>
      <c r="EY152" s="422">
        <f t="shared" si="92"/>
        <v>30.000963791155591</v>
      </c>
      <c r="EZ152" s="422">
        <f t="shared" si="81"/>
        <v>7.9211436788272652E-2</v>
      </c>
      <c r="FA152">
        <v>0</v>
      </c>
      <c r="FD152" s="306" t="s">
        <v>12</v>
      </c>
      <c r="FE152" s="306" t="s">
        <v>363</v>
      </c>
      <c r="FF152" s="306">
        <v>10963.124400000001</v>
      </c>
      <c r="FG152" s="306">
        <v>0.16368976107840044</v>
      </c>
      <c r="FH152" s="307">
        <v>849107</v>
      </c>
      <c r="FI152" s="308">
        <f t="shared" si="82"/>
        <v>30.000963791155591</v>
      </c>
      <c r="FJ152" s="308">
        <f t="shared" si="83"/>
        <v>7.9211436788272652E-2</v>
      </c>
      <c r="FL152" s="101"/>
      <c r="FM152" s="101"/>
      <c r="FN152" s="101"/>
      <c r="FO152" s="101"/>
      <c r="FP152" s="374"/>
      <c r="FQ152" s="404"/>
      <c r="FR152" s="404"/>
    </row>
    <row r="153" spans="1:174">
      <c r="A153" s="205"/>
      <c r="B153" s="205" t="s">
        <v>302</v>
      </c>
      <c r="C153" s="400">
        <f>$AB68*KTDB_TripDistribution_2045!T$12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19.107579153911363</v>
      </c>
      <c r="D153" s="400">
        <f>$AB68*KTDB_TripDistribution_2045!U$12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138.28545939792437</v>
      </c>
      <c r="E153" s="400">
        <f>$AB68*KTDB_TripDistribution_2045!V$12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7.9330945204038175</v>
      </c>
      <c r="F153" s="400">
        <f>$AB68*KTDB_TripDistribution_2045!W$12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1.2466885050398897E-2</v>
      </c>
      <c r="G153" s="400">
        <f>$AB68*KTDB_TripDistribution_2045!X$12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4.7097121301506902E-2</v>
      </c>
      <c r="H153" s="400">
        <f>$AB68*KTDB_TripDistribution_2045!Y$12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165.38569707859142</v>
      </c>
      <c r="I153" s="56"/>
      <c r="J153" s="56"/>
      <c r="K153" s="206"/>
      <c r="L153" s="206" t="s">
        <v>302</v>
      </c>
      <c r="M153" s="206">
        <f>INDEX($A$145:$H$158,MATCH($L153,$B$145:$B$158,0),MATCH($M$144,$A$145:$H$145,0))*고양시_Modal_split!C$3 * 0.01</f>
        <v>5.3501221630951806E-2</v>
      </c>
      <c r="N153" s="206">
        <f>INDEX($A$145:$H$158,MATCH($L153,$B$145:$B$158,0),MATCH($M$144,$A$145:$H$145,0))*고양시_Modal_split!D$3 * 0.01</f>
        <v>8.9862944760845149</v>
      </c>
      <c r="O153" s="206">
        <f>INDEX($A$145:$H$158,MATCH($L153,$B$145:$B$158,0),MATCH($M$144,$A$145:$H$145,0))*고양시_Modal_split!E$3 * 0.01</f>
        <v>1.0872212538575565</v>
      </c>
      <c r="P153" s="206">
        <f>INDEX($A$145:$H$158,MATCH($L153,$B$145:$B$158,0),MATCH($M$144,$A$145:$H$145,0))*고양시_Modal_split!F$3 * 0.01</f>
        <v>1.7521650084136722</v>
      </c>
      <c r="Q153" s="206">
        <f>INDEX($A$145:$H$158,MATCH($L153,$B$145:$B$158,0),MATCH($M$144,$A$145:$H$145,0))*고양시_Modal_split!G$3 * 0.01</f>
        <v>0.17578972821598451</v>
      </c>
      <c r="R153" s="206">
        <f>INDEX($A$145:$H$158,MATCH($L153,$B$145:$B$158,0),MATCH($M$144,$A$145:$H$145,0))*고양시_Modal_split!H$3 * 0.01</f>
        <v>1.9107579153911365E-3</v>
      </c>
      <c r="S153" s="206">
        <f>INDEX($A$145:$H$158,MATCH($L153,$B$145:$B$158,0),MATCH($M$144,$A$145:$H$145,0))*고양시_Modal_split!I$3 * 0.01</f>
        <v>0.53119070047873584</v>
      </c>
      <c r="T153" s="206">
        <f>INDEX($A$145:$H$158,MATCH($L153,$B$145:$B$158,0),MATCH($M$144,$A$145:$H$145,0))*고양시_Modal_split!J$3 * 0.01</f>
        <v>5.8163470944506193</v>
      </c>
      <c r="U153" s="206">
        <f>INDEX($A$145:$H$158,MATCH($L153,$B$145:$B$158,0),MATCH($M$144,$A$145:$H$145,0))*고양시_Modal_split!K$3 * 0.01</f>
        <v>2.8661368730867044E-2</v>
      </c>
      <c r="V153" s="206">
        <f>INDEX($A$145:$H$158,MATCH($L153,$B$145:$B$158,0),MATCH($M$144,$A$145:$H$145,0))*고양시_Modal_split!L$3 * 0.01</f>
        <v>0.57704889044812324</v>
      </c>
      <c r="W153" s="206">
        <f>INDEX($A$145:$H$158,MATCH($L153,$B$145:$B$158,0),MATCH($M$144,$A$145:$H$145,0))*고양시_Modal_split!M$3 * 0.01</f>
        <v>4.3947432053996129E-2</v>
      </c>
      <c r="X153" s="206">
        <f>INDEX($A$145:$H$158,MATCH($L153,$B$145:$B$158,0),MATCH($M$144,$A$145:$H$145,0))*고양시_Modal_split!N$3 * 0.01</f>
        <v>1.9107579153911366E-2</v>
      </c>
      <c r="Y153" s="206">
        <f>INDEX($A$145:$H$158,MATCH($L153,$B$145:$B$158,0),MATCH($M$144,$A$145:$H$145,0))*고양시_Modal_split!O$3 * 0.01</f>
        <v>3.4393642477040451E-2</v>
      </c>
      <c r="Z153" s="209">
        <f>INDEX($A$145:$H$158,MATCH($L153,$B$145:$B$158,0),MATCH($M$144,$A$145:$H$145,0))*고양시_Modal_split!P$3 * 0.01</f>
        <v>19.107579153911363</v>
      </c>
      <c r="AA153" s="207">
        <f>INDEX($A$145:$H$158,MATCH($L153,$B$145:$B$158,0),MATCH($AA$144,$A$145:$H$145,0))*고양시_Modal_split!C$3 * 0.01</f>
        <v>0.38719928631418821</v>
      </c>
      <c r="AB153" s="207">
        <f>INDEX($A$145:$H$158,MATCH($L153,$B$145:$B$158,0),MATCH($AA$144,$A$145:$H$145,0))*고양시_Modal_split!D$3 * 0.01</f>
        <v>65.035651554843838</v>
      </c>
      <c r="AC153" s="207">
        <f>INDEX($A$145:$H$158,MATCH($L153,$B$145:$B$158,0),MATCH($AA$144,$A$145:$H$145,0))*고양시_Modal_split!E$3 * 0.01</f>
        <v>7.8684426397418967</v>
      </c>
      <c r="AD153" s="207">
        <f>INDEX($A$145:$H$158,MATCH($L153,$B$145:$B$158,0),MATCH($AA$144,$A$145:$H$145,0))*고양시_Modal_split!F$3 * 0.01</f>
        <v>12.680776626789664</v>
      </c>
      <c r="AE153" s="207">
        <f>INDEX($A$145:$H$158,MATCH($L153,$B$145:$B$158,0),MATCH($AA$144,$A$145:$H$145,0))*고양시_Modal_split!G$3 * 0.01</f>
        <v>1.2722262264609041</v>
      </c>
      <c r="AF153" s="207">
        <f>INDEX($A$145:$H$158,MATCH($L153,$B$145:$B$158,0),MATCH($AA$144,$A$145:$H$145,0))*고양시_Modal_split!H$3 * 0.01</f>
        <v>1.3828545939792438E-2</v>
      </c>
      <c r="AG153" s="207">
        <f>INDEX($A$145:$H$158,MATCH($L153,$B$145:$B$158,0),MATCH($AA$144,$A$145:$H$145,0))*고양시_Modal_split!I$3 * 0.01</f>
        <v>3.8443357712622976</v>
      </c>
      <c r="AH153" s="207">
        <f>INDEX($A$145:$H$158,MATCH($L153,$B$145:$B$158,0),MATCH($AA$144,$A$145:$H$145,0))*고양시_Modal_split!J$3 * 0.01</f>
        <v>42.094093840728185</v>
      </c>
      <c r="AI153" s="207">
        <f>INDEX($A$145:$H$158,MATCH($L153,$B$145:$B$158,0),MATCH($AA$144,$A$145:$H$145,0))*고양시_Modal_split!K$3 * 0.01</f>
        <v>0.20742818909688654</v>
      </c>
      <c r="AJ153" s="207">
        <f>INDEX($A$145:$H$158,MATCH($L153,$B$145:$B$158,0),MATCH($AA$144,$A$145:$H$145,0))*고양시_Modal_split!L$3 * 0.01</f>
        <v>4.1762208738173161</v>
      </c>
      <c r="AK153" s="207">
        <f>INDEX($A$145:$H$158,MATCH($L153,$B$145:$B$158,0),MATCH($AA$144,$A$145:$H$145,0))*고양시_Modal_split!M$3 * 0.01</f>
        <v>0.31805655661522603</v>
      </c>
      <c r="AL153" s="207">
        <f>INDEX($A$145:$H$158,MATCH($L153,$B$145:$B$158,0),MATCH($AA$144,$A$145:$H$145,0))*고양시_Modal_split!N$3 * 0.01</f>
        <v>0.13828545939792439</v>
      </c>
      <c r="AM153" s="207">
        <f>INDEX($A$145:$H$158,MATCH($L153,$B$145:$B$158,0),MATCH($AA$144,$A$145:$H$145,0))*고양시_Modal_split!O$3 * 0.01</f>
        <v>0.24891382691626388</v>
      </c>
      <c r="AN153" s="207">
        <f>INDEX($A$145:$H$158,MATCH($L153,$B$145:$B$158,0),MATCH($AA$144,$A$145:$H$145,0))*고양시_Modal_split!P$3 * 0.01</f>
        <v>138.28545939792437</v>
      </c>
      <c r="AO153" s="303">
        <f>INDEX($A$145:$H$158,MATCH($L153,$B$145:$B$158,0),MATCH($AO$144,$A$145:$H$145,0))*고양시_Modal_split!C$3 * 0.01</f>
        <v>2.2212664657130687E-2</v>
      </c>
      <c r="AP153" s="303">
        <f>INDEX($A$145:$H$158,MATCH($L153,$B$145:$B$158,0),MATCH($AO$144,$A$145:$H$145,0))*고양시_Modal_split!D$3 * 0.01</f>
        <v>3.7309343529459156</v>
      </c>
      <c r="AQ153" s="303">
        <f>INDEX($A$145:$H$158,MATCH($L153,$B$145:$B$158,0),MATCH($AO$144,$A$145:$H$145,0))*고양시_Modal_split!E$3 * 0.01</f>
        <v>0.45139307821097718</v>
      </c>
      <c r="AR153" s="303">
        <f>INDEX($A$145:$H$158,MATCH($L153,$B$145:$B$158,0),MATCH($AO$144,$A$145:$H$145,0))*고양시_Modal_split!F$3 * 0.01</f>
        <v>0.72746476752103006</v>
      </c>
      <c r="AS153" s="303">
        <f>INDEX($A$145:$H$158,MATCH($L153,$B$145:$B$158,0),MATCH($AO$144,$A$145:$H$145,0))*고양시_Modal_split!G$3 * 0.01</f>
        <v>7.2984469587715109E-2</v>
      </c>
      <c r="AT153" s="303">
        <f>INDEX($A$145:$H$158,MATCH($L153,$B$145:$B$158,0),MATCH($AO$144,$A$145:$H$145,0))*고양시_Modal_split!H$3 * 0.01</f>
        <v>7.9330945204038176E-4</v>
      </c>
      <c r="AU153" s="303">
        <f>INDEX($A$145:$H$158,MATCH($L153,$B$145:$B$158,0),MATCH($AO$144,$A$145:$H$145,0))*고양시_Modal_split!I$3 * 0.01</f>
        <v>0.22054002766722611</v>
      </c>
      <c r="AV153" s="303">
        <f>INDEX($A$145:$H$158,MATCH($L153,$B$145:$B$158,0),MATCH($AO$144,$A$145:$H$145,0))*고양시_Modal_split!J$3 * 0.01</f>
        <v>2.4148339720109222</v>
      </c>
      <c r="AW153" s="303">
        <f>INDEX($A$145:$H$158,MATCH($L153,$B$145:$B$158,0),MATCH($AO$144,$A$145:$H$145,0))*고양시_Modal_split!K$3 * 0.01</f>
        <v>1.1899641780605725E-2</v>
      </c>
      <c r="AX153" s="303">
        <f>INDEX($A$145:$H$158,MATCH($L153,$B$145:$B$158,0),MATCH($AO$144,$A$145:$H$145,0))*고양시_Modal_split!L$3 * 0.01</f>
        <v>0.23957945451619531</v>
      </c>
      <c r="AY153" s="303">
        <f>INDEX($A$145:$H$158,MATCH($L153,$B$145:$B$158,0),MATCH($AO$144,$A$145:$H$145,0))*고양시_Modal_split!M$3 * 0.01</f>
        <v>1.8246117396928777E-2</v>
      </c>
      <c r="AZ153" s="303">
        <f>INDEX($A$145:$H$158,MATCH($L153,$B$145:$B$158,0),MATCH($AO$144,$A$145:$H$145,0))*고양시_Modal_split!N$3 * 0.01</f>
        <v>7.9330945204038189E-3</v>
      </c>
      <c r="BA153" s="207">
        <f>INDEX($A$145:$H$158,MATCH($L153,$B$145:$B$158,0),MATCH($AO$144,$A$145:$H$145,0))*고양시_Modal_split!O$3 * 0.01</f>
        <v>1.4279570136726871E-2</v>
      </c>
      <c r="BB153" s="207">
        <f>INDEX($A$145:$H$158,MATCH($L153,$B$145:$B$158,0),MATCH($AO$144,$A$145:$H$145,0))*고양시_Modal_split!P$3 * 0.01</f>
        <v>7.9330945204038175</v>
      </c>
      <c r="BC153" s="207">
        <f>INDEX($A$145:$H$158,MATCH($L153,$B$145:$B$158,0),MATCH($BC$144,$A$145:$H$145,0))*고양시_Modal_split!C$3 * 0.01</f>
        <v>3.4907278141116906E-5</v>
      </c>
      <c r="BD153" s="207">
        <f>INDEX($A$145:$H$158,MATCH($L153,$B$145:$B$158,0),MATCH($BC$144,$A$145:$H$145,0))*고양시_Modal_split!D$3 * 0.01</f>
        <v>5.8631760392026016E-3</v>
      </c>
      <c r="BE153" s="207">
        <f>INDEX($A$145:$H$158,MATCH($L153,$B$145:$B$158,0),MATCH($BC$144,$A$145:$H$145,0))*고양시_Modal_split!E$3 * 0.01</f>
        <v>7.0936575936769719E-4</v>
      </c>
      <c r="BF153" s="207">
        <f>INDEX($A$145:$H$158,MATCH($L153,$B$145:$B$158,0),MATCH($BC$144,$A$145:$H$145,0))*고양시_Modal_split!F$3 * 0.01</f>
        <v>1.143213359121579E-3</v>
      </c>
      <c r="BG153" s="207">
        <f>INDEX($A$145:$H$158,MATCH($L153,$B$145:$B$158,0),MATCH($BC$144,$A$145:$H$145,0))*고양시_Modal_split!G$3 * 0.01</f>
        <v>1.1469534246366985E-4</v>
      </c>
      <c r="BH153" s="207">
        <f>INDEX($A$145:$H$158,MATCH($L153,$B$145:$B$158,0),MATCH($BC$144,$A$145:$H$145,0))*고양시_Modal_split!H$3 * 0.01</f>
        <v>1.2466885050398897E-6</v>
      </c>
      <c r="BI153" s="207">
        <f>INDEX($A$145:$H$158,MATCH($L153,$B$145:$B$158,0),MATCH($BC$144,$A$145:$H$145,0))*고양시_Modal_split!I$3 * 0.01</f>
        <v>3.4657940440108935E-4</v>
      </c>
      <c r="BJ153" s="207">
        <f>INDEX($A$145:$H$158,MATCH($L153,$B$145:$B$158,0),MATCH($BC$144,$A$145:$H$145,0))*고양시_Modal_split!J$3 * 0.01</f>
        <v>3.7949198093414245E-3</v>
      </c>
      <c r="BK153" s="207">
        <f>INDEX($A$145:$H$158,MATCH($L153,$B$145:$B$158,0),MATCH($BC$144,$A$145:$H$145,0))*고양시_Modal_split!K$3 * 0.01</f>
        <v>1.8700327575598344E-5</v>
      </c>
      <c r="BL153" s="207">
        <f>INDEX($A$145:$H$158,MATCH($L153,$B$145:$B$158,0),MATCH($BC$144,$A$145:$H$145,0))*고양시_Modal_split!L$3 * 0.01</f>
        <v>3.7649992852204671E-4</v>
      </c>
      <c r="BM153" s="207">
        <f>INDEX($A$145:$H$158,MATCH($L153,$B$145:$B$158,0),MATCH($BC$144,$A$145:$H$145,0))*고양시_Modal_split!M$3 * 0.01</f>
        <v>2.8673835615917462E-5</v>
      </c>
      <c r="BN153" s="207">
        <f>INDEX($A$145:$H$158,MATCH($L153,$B$145:$B$158,0),MATCH($BC$144,$A$145:$H$145,0))*고양시_Modal_split!N$3 * 0.01</f>
        <v>1.2466885050398899E-5</v>
      </c>
      <c r="BO153" s="207">
        <f>INDEX($A$145:$H$158,MATCH($L153,$B$145:$B$158,0),MATCH($BC$144,$A$145:$H$145,0))*고양시_Modal_split!O$3 * 0.01</f>
        <v>2.2440393090718015E-5</v>
      </c>
      <c r="BP153" s="207">
        <f>INDEX($A$145:$H$158,MATCH($L153,$B$145:$B$158,0),MATCH($BC$144,$A$145:$H$145,0))*고양시_Modal_split!P$3 * 0.01</f>
        <v>1.2466885050398897E-2</v>
      </c>
      <c r="BQ153" s="207">
        <f>INDEX($A$145:$H$158,MATCH($L153,$B$145:$B$158,0),MATCH($BQ$144,$A$145:$H$145,0))*고양시_Modal_split!C$3 * 0.01</f>
        <v>1.3187193964421932E-4</v>
      </c>
      <c r="BR153" s="207">
        <f>INDEX($A$145:$H$158,MATCH($L153,$B$145:$B$158,0),MATCH($BQ$144,$A$145:$H$145,0))*고양시_Modal_split!D$3 * 0.01</f>
        <v>2.2149776148098696E-2</v>
      </c>
      <c r="BS153" s="207">
        <f>INDEX($A$145:$H$158,MATCH($L153,$B$145:$B$158,0),MATCH($BQ$144,$A$145:$H$145,0))*고양시_Modal_split!E$3 * 0.01</f>
        <v>2.6798262020557425E-3</v>
      </c>
      <c r="BT153" s="207">
        <f>INDEX($A$145:$H$158,MATCH($L153,$B$145:$B$158,0),MATCH($BQ$144,$A$145:$H$145,0))*고양시_Modal_split!F$3 * 0.01</f>
        <v>4.3188060233481833E-3</v>
      </c>
      <c r="BU153" s="207">
        <f>INDEX($A$145:$H$158,MATCH($L153,$B$145:$B$158,0),MATCH($BQ$144,$A$145:$H$145,0))*고양시_Modal_split!G$3 * 0.01</f>
        <v>4.3329351597386342E-4</v>
      </c>
      <c r="BV153" s="207">
        <f>INDEX($A$145:$H$158,MATCH($L153,$B$145:$B$158,0),MATCH($BQ$144,$A$145:$H$145,0))*고양시_Modal_split!H$3 * 0.01</f>
        <v>4.7097121301506903E-6</v>
      </c>
      <c r="BW153" s="207">
        <f>INDEX($A$145:$H$158,MATCH($L153,$B$145:$B$158,0),MATCH($BQ$144,$A$145:$H$145,0))*고양시_Modal_split!I$3 * 0.01</f>
        <v>1.3092999721818919E-3</v>
      </c>
      <c r="BX153" s="207">
        <f>INDEX($A$145:$H$158,MATCH($L153,$B$145:$B$158,0),MATCH($BQ$144,$A$145:$H$145,0))*고양시_Modal_split!J$3 * 0.01</f>
        <v>1.4336363724178703E-2</v>
      </c>
      <c r="BY153" s="207">
        <f>INDEX($A$145:$H$158,MATCH($L153,$B$145:$B$158,0),MATCH($BQ$144,$A$145:$H$145,0))*고양시_Modal_split!K$3 * 0.01</f>
        <v>7.0645681952260353E-5</v>
      </c>
      <c r="BZ153" s="207">
        <f>INDEX($A$145:$H$158,MATCH($L153,$B$145:$B$158,0),MATCH($BQ$144,$A$145:$H$145,0))*고양시_Modal_split!L$3 * 0.01</f>
        <v>1.4223330633055084E-3</v>
      </c>
      <c r="CA153" s="207">
        <f>INDEX($A$145:$H$158,MATCH($L153,$B$145:$B$158,0),MATCH($BQ$144,$A$145:$H$145,0))*고양시_Modal_split!M$3 * 0.01</f>
        <v>1.0832337899346586E-4</v>
      </c>
      <c r="CB153" s="207">
        <f>INDEX($A$145:$H$158,MATCH($L153,$B$145:$B$158,0),MATCH($BQ$144,$A$145:$H$145,0))*고양시_Modal_split!N$3 * 0.01</f>
        <v>4.7097121301506904E-5</v>
      </c>
      <c r="CC153" s="207">
        <f>INDEX($A$145:$H$158,MATCH($L153,$B$145:$B$158,0),MATCH($BQ$144,$A$145:$H$145,0))*고양시_Modal_split!O$3 * 0.01</f>
        <v>8.4774818342712427E-5</v>
      </c>
      <c r="CD153" s="207">
        <f>INDEX($A$145:$H$158,MATCH($L153,$B$145:$B$158,0),MATCH($BQ$144,$A$145:$H$145,0))*고양시_Modal_split!P$3 * 0.01</f>
        <v>4.7097121301506902E-2</v>
      </c>
      <c r="CE153" s="304">
        <f t="shared" si="84"/>
        <v>0.46307995182005601</v>
      </c>
      <c r="CF153" s="304">
        <f t="shared" si="64"/>
        <v>77.780893336061567</v>
      </c>
      <c r="CG153" s="304">
        <f t="shared" si="65"/>
        <v>9.4104461637718533</v>
      </c>
      <c r="CH153" s="304">
        <f t="shared" si="66"/>
        <v>15.165868422106835</v>
      </c>
      <c r="CI153" s="304">
        <f t="shared" si="67"/>
        <v>1.5215484131230415</v>
      </c>
      <c r="CJ153" s="304">
        <f t="shared" si="68"/>
        <v>1.6538569707859149E-2</v>
      </c>
      <c r="CK153" s="304">
        <f t="shared" si="69"/>
        <v>4.5977223787848436</v>
      </c>
      <c r="CL153" s="304">
        <f t="shared" si="70"/>
        <v>50.34340619072325</v>
      </c>
      <c r="CM153" s="304">
        <f t="shared" si="71"/>
        <v>0.24807854561788717</v>
      </c>
      <c r="CN153" s="304">
        <f t="shared" si="72"/>
        <v>4.9946480517734626</v>
      </c>
      <c r="CO153" s="304">
        <f t="shared" si="73"/>
        <v>0.38038710328076036</v>
      </c>
      <c r="CP153" s="304">
        <f t="shared" si="74"/>
        <v>0.16538569707859152</v>
      </c>
      <c r="CQ153" s="304">
        <f t="shared" si="75"/>
        <v>0.29769425474146466</v>
      </c>
      <c r="CR153" s="304">
        <f t="shared" si="76"/>
        <v>165.38569707859145</v>
      </c>
      <c r="CS153" s="305">
        <f t="shared" si="85"/>
        <v>0</v>
      </c>
      <c r="CV153" s="267"/>
      <c r="CW153" s="267" t="s">
        <v>302</v>
      </c>
      <c r="CX153" s="267">
        <f>INDEX($M$144:$Z$158,MATCH($CW153,$L$144:$L$158,0),MATCH(CX$145,$M$145:$Z$145,0))/INDEX(고양시_재차인원!$D$4:$H$35,MATCH("고양시",고양시_재차인원!$B$4:$B$35,0),MATCH($CX$144,고양시_재차인원!$D$4:$H$4,0))</f>
        <v>8.0234772107897445</v>
      </c>
      <c r="CY153" s="267">
        <f>INDEX($M$144:$Z$158,MATCH($CW153,$L$144:$L$158,0),MATCH(CY$145,$M$145:$Z$145,0))/INDEX(고양시_재차인원!$K$4:$O$20,MATCH("경기도",고양시_재차인원!$K$4:$K$20,0),MATCH(CY$145,고양시_재차인원!$K$4:$O$4,0))</f>
        <v>6.6368805675273931E-5</v>
      </c>
      <c r="CZ153" s="267">
        <f>INDEX($M$144:$Z$158,MATCH($CW153,$L$144:$L$158,0),MATCH(CZ$145,$M$145:$Z$145,0))/INDEX(고양시_재차인원!$K$4:$O$20,MATCH("경기도",고양시_재차인원!$K$4:$K$20,0),MATCH(CZ$145,고양시_재차인원!$K$4:$O$4,0))</f>
        <v>1.8450527977726151E-2</v>
      </c>
      <c r="DA153" s="267">
        <f>INDEX($M$144:$Z$158,MATCH($CW153,$L$144:$L$158,0),MATCH(DA$145,$M$145:$Z$145,0))/INDEX(고양시_재차인원!$D$4:$H$35,MATCH("고양시",고양시_재차인원!$B$4:$B$35,0),MATCH($CX$144,고양시_재차인원!$D$4:$H$4,0))</f>
        <v>0.51522222361439574</v>
      </c>
      <c r="DB153" s="267">
        <f>INDEX($AA$144:$AN$158,MATCH($CW153,$L$144:$L$158,0),MATCH(DB$145,$AA$145:$AN$145,0))/INDEX(고양시_재차인원!$D$4:$H$35,MATCH("고양시",고양시_재차인원!$B$4:$B$35,0),MATCH($DB$144,고양시_재차인원!$D$4:$H$4,0))</f>
        <v>46.124575570811238</v>
      </c>
      <c r="DC153" s="267">
        <f>INDEX($AA$144:$AN$158,MATCH($CW153,$L$144:$L$158,0),MATCH(DC$145,$AA$145:$AN$145,0))/INDEX(고양시_재차인원!$K$4:$O$20,MATCH("경기도",고양시_재차인원!$K$4:$K$20,0),MATCH(DC$145,고양시_재차인원!$K$4:$O$4,0))</f>
        <v>4.8032462451519408E-4</v>
      </c>
      <c r="DD153" s="267">
        <f>INDEX($AA$144:$AN$158,MATCH($CW153,$L$144:$L$158,0),MATCH(DD$145,$AA$145:$AN$145,0))/INDEX(고양시_재차인원!$K$4:$O$20,MATCH("경기도",고양시_재차인원!$K$4:$K$20,0),MATCH(DD$145,고양시_재차인원!$K$4:$O$4,0))</f>
        <v>0.13353024561522395</v>
      </c>
      <c r="DE153" s="267">
        <f>INDEX($AA$144:$AN$158,MATCH($CW153,$L$144:$L$158,0),MATCH(DE$145,$AA$145:$AN$145,0))/INDEX(고양시_재차인원!$D$4:$H$35,MATCH("고양시",고양시_재차인원!$B$4:$B$35,0),MATCH($DB$144,고양시_재차인원!$D$4:$H$4,0))</f>
        <v>2.9618587757569621</v>
      </c>
      <c r="DF153" s="267">
        <f>INDEX($AO$144:$BB$158,MATCH($CW153,$L$144:$L$158,0),MATCH(DF$145,$AO$145:$BB$145,0))/INDEX(고양시_재차인원!$D$4:$H$35,MATCH("고양시",고양시_재차인원!$B$4:$B$35,0),MATCH($DF$144,고양시_재차인원!$D$4:$H$4,0))</f>
        <v>2.8699495022660888</v>
      </c>
      <c r="DG153" s="267">
        <f>INDEX($AO$144:$BB$158,MATCH($CW153,$L$144:$L$158,0),MATCH(DG$145,$AO$145:$BB$145,0))/INDEX(고양시_재차인원!$K$4:$O$20,MATCH("경기도",고양시_재차인원!$K$4:$K$20,0),MATCH(DG$145,고양시_재차인원!$K$4:$O$4,0))</f>
        <v>2.7555034805153933E-5</v>
      </c>
      <c r="DH153" s="267">
        <f>INDEX($AO$144:$BB$158,MATCH($CW153,$L$144:$L$158,0),MATCH(DH$145,$AO$145:$BB$145,0))/INDEX(고양시_재차인원!$K$4:$O$20,MATCH("경기도",고양시_재차인원!$K$4:$K$20,0),MATCH(DH$145,고양시_재차인원!$K$4:$O$4,0))</f>
        <v>7.6602996758327931E-3</v>
      </c>
      <c r="DI153" s="267">
        <f>INDEX($AO$144:$BB$158,MATCH($CW153,$L$144:$L$158,0),MATCH(DI$145,$AO$145:$BB$145,0))/INDEX(고양시_재차인원!$D$4:$H$35,MATCH("고양시",고양시_재차인원!$B$4:$B$35,0),MATCH($DF$144,고양시_재차인원!$D$4:$H$4,0))</f>
        <v>0.18429188808938099</v>
      </c>
      <c r="DJ153" s="267">
        <f>INDEX($BC$144:$BP$158,MATCH($CW153,$L$144:$L$158,0),MATCH(DJ$145,$BC$145:$BP$145,0))/INDEX(고양시_재차인원!$D$4:$H$35,MATCH("고양시",고양시_재차인원!$B$4:$B$35,0),MATCH($DJ$144,고양시_재차인원!$D$4:$H$4,0))</f>
        <v>4.3111588523548541E-3</v>
      </c>
      <c r="DK153" s="267">
        <f>INDEX($BC$144:$BP$158,MATCH($CW153,$L$144:$L$158,0),MATCH(DK$145,$BC$145:$BP$145,0))/INDEX(고양시_재차인원!$K$4:$O$20,MATCH("경기도",고양시_재차인원!$K$4:$K$20,0),MATCH(DK$145,고양시_재차인원!$K$4:$O$4,0))</f>
        <v>4.3302831019100027E-8</v>
      </c>
      <c r="DL153" s="267">
        <f>INDEX($BC$144:$BP$158,MATCH($CW153,$L$144:$L$158,0),MATCH(DL$145,$BC$145:$BP$145,0))/INDEX(고양시_재차인원!$K$4:$O$20,MATCH("경기도",고양시_재차인원!$K$4:$K$20,0),MATCH(DL$145,고양시_재차인원!$K$4:$O$4,0))</f>
        <v>1.2038187023309807E-5</v>
      </c>
      <c r="DM153" s="267">
        <f>INDEX($BC$144:$BP$158,MATCH($CW153,$L$144:$L$158,0),MATCH(DM$145,$BC$145:$BP$145,0))/INDEX(고양시_재차인원!$D$4:$H$35,MATCH("고양시",고양시_재차인원!$B$4:$B$35,0),MATCH($DJ$144,고양시_재차인원!$D$4:$H$4,0))</f>
        <v>2.7683818273679901E-4</v>
      </c>
      <c r="DN153" s="267">
        <f>INDEX($BQ$144:$CD$158,MATCH($CW153,$L$144:$L$158,0),MATCH(DN$145,$BQ$145:$CD$145,0))/INDEX(고양시_재차인원!$D$4:$H$35,MATCH("고양시",고양시_재차인원!$B$4:$B$35,0),MATCH($DN$144,고양시_재차인원!$D$4:$H$4,0))</f>
        <v>1.7579187419125949E-2</v>
      </c>
      <c r="DO153" s="267">
        <f>INDEX($BQ$144:$CD$158,MATCH($CW153,$L$144:$L$158,0),MATCH(DO$145,$BQ$145:$CD$145,0))/INDEX(고양시_재차인원!$K$4:$O$20,MATCH("경기도",고양시_재차인원!$K$4:$K$20,0),MATCH(DO$145,고양시_재차인원!$K$4:$O$4,0))</f>
        <v>1.6358847273882217E-7</v>
      </c>
      <c r="DP153" s="267">
        <f>INDEX($BQ$144:$CD$158,MATCH($CW153,$L$144:$L$158,0),MATCH(DP$145,$BQ$145:$CD$145,0))/INDEX(고양시_재차인원!$K$4:$O$20,MATCH("경기도",고양시_재차인원!$K$4:$K$20,0),MATCH(DP$145,고양시_재차인원!$K$4:$O$4,0))</f>
        <v>4.5477595421392568E-5</v>
      </c>
      <c r="DQ153" s="267">
        <f>INDEX($BQ$144:$CD$158,MATCH($CW153,$L$144:$L$158,0),MATCH(DQ$145,$BQ$145:$CD$145,0))/INDEX(고양시_재차인원!$D$4:$H$35,MATCH("고양시",고양시_재차인원!$B$4:$B$35,0),MATCH($DN$144,고양시_재차인원!$D$4:$H$4,0))</f>
        <v>1.1288357645281813E-3</v>
      </c>
      <c r="DR153" s="270">
        <f t="shared" si="86"/>
        <v>57.039892630138546</v>
      </c>
      <c r="DS153" s="270">
        <f t="shared" si="77"/>
        <v>5.7445535629937984E-4</v>
      </c>
      <c r="DT153" s="270">
        <f t="shared" si="78"/>
        <v>0.15969858905122758</v>
      </c>
      <c r="DU153" s="270">
        <f t="shared" si="79"/>
        <v>3.6627785614080044</v>
      </c>
      <c r="DW153" s="278"/>
      <c r="DX153" s="278" t="s">
        <v>302</v>
      </c>
      <c r="DY153" s="281">
        <f t="shared" si="87"/>
        <v>60.70267119154655</v>
      </c>
      <c r="DZ153" s="281">
        <f t="shared" si="88"/>
        <v>0.16027304440752696</v>
      </c>
      <c r="EB153" s="278"/>
      <c r="EC153" s="278" t="s">
        <v>302</v>
      </c>
      <c r="ED153" s="281">
        <f t="shared" si="89"/>
        <v>60.70267119154655</v>
      </c>
      <c r="EE153" s="281">
        <f t="shared" si="80"/>
        <v>0.16027304440752696</v>
      </c>
      <c r="EL153" s="306" t="s">
        <v>667</v>
      </c>
      <c r="EM153" s="306" t="s">
        <v>568</v>
      </c>
      <c r="EN153" s="306">
        <v>26312.316800000001</v>
      </c>
      <c r="EO153" s="306">
        <v>0.1416840985854132</v>
      </c>
      <c r="EP153" s="307">
        <v>849108</v>
      </c>
      <c r="EQ153" s="308">
        <f t="shared" si="90"/>
        <v>582.10788465645999</v>
      </c>
      <c r="ER153" s="308">
        <f t="shared" si="91"/>
        <v>1.5369373540930571</v>
      </c>
      <c r="ET153" s="420" t="s">
        <v>667</v>
      </c>
      <c r="EU153" s="420" t="s">
        <v>568</v>
      </c>
      <c r="EV153" s="420">
        <v>26312.316800000001</v>
      </c>
      <c r="EW153" s="420">
        <v>0.1416840985854132</v>
      </c>
      <c r="EX153" s="421">
        <v>849108</v>
      </c>
      <c r="EY153" s="422">
        <f t="shared" si="92"/>
        <v>565.51780994375088</v>
      </c>
      <c r="EZ153" s="422">
        <f t="shared" si="81"/>
        <v>1.4931346395014051</v>
      </c>
      <c r="FA153">
        <v>0</v>
      </c>
      <c r="FD153" s="306" t="s">
        <v>667</v>
      </c>
      <c r="FE153" s="306" t="s">
        <v>568</v>
      </c>
      <c r="FF153" s="306">
        <v>26312.316800000001</v>
      </c>
      <c r="FG153" s="306">
        <v>0.1416840985854132</v>
      </c>
      <c r="FH153" s="307">
        <v>849108</v>
      </c>
      <c r="FI153" s="308">
        <f t="shared" si="82"/>
        <v>565.51780994375088</v>
      </c>
      <c r="FJ153" s="308">
        <f t="shared" si="83"/>
        <v>1.4931346395014051</v>
      </c>
      <c r="FL153" s="101"/>
      <c r="FM153" s="101"/>
      <c r="FN153" s="101"/>
      <c r="FO153" s="101"/>
      <c r="FP153" s="374"/>
      <c r="FQ153" s="404"/>
      <c r="FR153" s="404"/>
    </row>
    <row r="154" spans="1:174">
      <c r="A154" s="205"/>
      <c r="B154" s="205" t="s">
        <v>303</v>
      </c>
      <c r="C154" s="400">
        <f>$AB69*KTDB_TripDistribution_2045!T$12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33.814287307359194</v>
      </c>
      <c r="D154" s="400">
        <f>$AB69*KTDB_TripDistribution_2045!U$12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244.72091502781367</v>
      </c>
      <c r="E154" s="400">
        <f>$AB69*KTDB_TripDistribution_2045!V$12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14.039033160014919</v>
      </c>
      <c r="F154" s="400">
        <f>$AB69*KTDB_TripDistribution_2045!W$12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2.2062388412805039E-2</v>
      </c>
      <c r="G154" s="400">
        <f>$AB69*KTDB_TripDistribution_2045!X$12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8.3346800670596757E-2</v>
      </c>
      <c r="H154" s="400">
        <f>$AB69*KTDB_TripDistribution_2045!Y$12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292.67964468427118</v>
      </c>
      <c r="I154" s="56"/>
      <c r="J154" s="56"/>
      <c r="K154" s="206"/>
      <c r="L154" s="206" t="s">
        <v>303</v>
      </c>
      <c r="M154" s="206">
        <f>INDEX($A$145:$H$158,MATCH($L154,$B$145:$B$158,0),MATCH($M$144,$A$145:$H$145,0))*고양시_Modal_split!C$3 * 0.01</f>
        <v>9.4680004460605732E-2</v>
      </c>
      <c r="N154" s="206">
        <f>INDEX($A$145:$H$158,MATCH($L154,$B$145:$B$158,0),MATCH($M$144,$A$145:$H$145,0))*고양시_Modal_split!D$3 * 0.01</f>
        <v>15.90285932065103</v>
      </c>
      <c r="O154" s="206">
        <f>INDEX($A$145:$H$158,MATCH($L154,$B$145:$B$158,0),MATCH($M$144,$A$145:$H$145,0))*고양시_Modal_split!E$3 * 0.01</f>
        <v>1.9240329477887381</v>
      </c>
      <c r="P154" s="206">
        <f>INDEX($A$145:$H$158,MATCH($L154,$B$145:$B$158,0),MATCH($M$144,$A$145:$H$145,0))*고양시_Modal_split!F$3 * 0.01</f>
        <v>3.1007701460848383</v>
      </c>
      <c r="Q154" s="206">
        <f>INDEX($A$145:$H$158,MATCH($L154,$B$145:$B$158,0),MATCH($M$144,$A$145:$H$145,0))*고양시_Modal_split!G$3 * 0.01</f>
        <v>0.3110914432277046</v>
      </c>
      <c r="R154" s="206">
        <f>INDEX($A$145:$H$158,MATCH($L154,$B$145:$B$158,0),MATCH($M$144,$A$145:$H$145,0))*고양시_Modal_split!H$3 * 0.01</f>
        <v>3.3814287307359198E-3</v>
      </c>
      <c r="S154" s="206">
        <f>INDEX($A$145:$H$158,MATCH($L154,$B$145:$B$158,0),MATCH($M$144,$A$145:$H$145,0))*고양시_Modal_split!I$3 * 0.01</f>
        <v>0.94003718714458562</v>
      </c>
      <c r="T154" s="206">
        <f>INDEX($A$145:$H$158,MATCH($L154,$B$145:$B$158,0),MATCH($M$144,$A$145:$H$145,0))*고양시_Modal_split!J$3 * 0.01</f>
        <v>10.293069056360139</v>
      </c>
      <c r="U154" s="206">
        <f>INDEX($A$145:$H$158,MATCH($L154,$B$145:$B$158,0),MATCH($M$144,$A$145:$H$145,0))*고양시_Modal_split!K$3 * 0.01</f>
        <v>5.0721430961038795E-2</v>
      </c>
      <c r="V154" s="206">
        <f>INDEX($A$145:$H$158,MATCH($L154,$B$145:$B$158,0),MATCH($M$144,$A$145:$H$145,0))*고양시_Modal_split!L$3 * 0.01</f>
        <v>1.0211914766822476</v>
      </c>
      <c r="W154" s="206">
        <f>INDEX($A$145:$H$158,MATCH($L154,$B$145:$B$158,0),MATCH($M$144,$A$145:$H$145,0))*고양시_Modal_split!M$3 * 0.01</f>
        <v>7.777286080692615E-2</v>
      </c>
      <c r="X154" s="206">
        <f>INDEX($A$145:$H$158,MATCH($L154,$B$145:$B$158,0),MATCH($M$144,$A$145:$H$145,0))*고양시_Modal_split!N$3 * 0.01</f>
        <v>3.3814287307359192E-2</v>
      </c>
      <c r="Y154" s="206">
        <f>INDEX($A$145:$H$158,MATCH($L154,$B$145:$B$158,0),MATCH($M$144,$A$145:$H$145,0))*고양시_Modal_split!O$3 * 0.01</f>
        <v>6.0865717153246547E-2</v>
      </c>
      <c r="Z154" s="209">
        <f>INDEX($A$145:$H$158,MATCH($L154,$B$145:$B$158,0),MATCH($M$144,$A$145:$H$145,0))*고양시_Modal_split!P$3 * 0.01</f>
        <v>33.814287307359194</v>
      </c>
      <c r="AA154" s="207">
        <f>INDEX($A$145:$H$158,MATCH($L154,$B$145:$B$158,0),MATCH($AA$144,$A$145:$H$145,0))*고양시_Modal_split!C$3 * 0.01</f>
        <v>0.68521856207787823</v>
      </c>
      <c r="AB154" s="207">
        <f>INDEX($A$145:$H$158,MATCH($L154,$B$145:$B$158,0),MATCH($AA$144,$A$145:$H$145,0))*고양시_Modal_split!D$3 * 0.01</f>
        <v>115.09224633758079</v>
      </c>
      <c r="AC154" s="207">
        <f>INDEX($A$145:$H$158,MATCH($L154,$B$145:$B$158,0),MATCH($AA$144,$A$145:$H$145,0))*고양시_Modal_split!E$3 * 0.01</f>
        <v>13.924620065082598</v>
      </c>
      <c r="AD154" s="207">
        <f>INDEX($A$145:$H$158,MATCH($L154,$B$145:$B$158,0),MATCH($AA$144,$A$145:$H$145,0))*고양시_Modal_split!F$3 * 0.01</f>
        <v>22.440907908050512</v>
      </c>
      <c r="AE154" s="207">
        <f>INDEX($A$145:$H$158,MATCH($L154,$B$145:$B$158,0),MATCH($AA$144,$A$145:$H$145,0))*고양시_Modal_split!G$3 * 0.01</f>
        <v>2.2514324182558858</v>
      </c>
      <c r="AF154" s="207">
        <f>INDEX($A$145:$H$158,MATCH($L154,$B$145:$B$158,0),MATCH($AA$144,$A$145:$H$145,0))*고양시_Modal_split!H$3 * 0.01</f>
        <v>2.447209150278137E-2</v>
      </c>
      <c r="AG154" s="207">
        <f>INDEX($A$145:$H$158,MATCH($L154,$B$145:$B$158,0),MATCH($AA$144,$A$145:$H$145,0))*고양시_Modal_split!I$3 * 0.01</f>
        <v>6.8032414377732202</v>
      </c>
      <c r="AH154" s="207">
        <f>INDEX($A$145:$H$158,MATCH($L154,$B$145:$B$158,0),MATCH($AA$144,$A$145:$H$145,0))*고양시_Modal_split!J$3 * 0.01</f>
        <v>74.493046534466487</v>
      </c>
      <c r="AI154" s="207">
        <f>INDEX($A$145:$H$158,MATCH($L154,$B$145:$B$158,0),MATCH($AA$144,$A$145:$H$145,0))*고양시_Modal_split!K$3 * 0.01</f>
        <v>0.36708137254172052</v>
      </c>
      <c r="AJ154" s="207">
        <f>INDEX($A$145:$H$158,MATCH($L154,$B$145:$B$158,0),MATCH($AA$144,$A$145:$H$145,0))*고양시_Modal_split!L$3 * 0.01</f>
        <v>7.390571633839973</v>
      </c>
      <c r="AK154" s="207">
        <f>INDEX($A$145:$H$158,MATCH($L154,$B$145:$B$158,0),MATCH($AA$144,$A$145:$H$145,0))*고양시_Modal_split!M$3 * 0.01</f>
        <v>0.56285810456397145</v>
      </c>
      <c r="AL154" s="207">
        <f>INDEX($A$145:$H$158,MATCH($L154,$B$145:$B$158,0),MATCH($AA$144,$A$145:$H$145,0))*고양시_Modal_split!N$3 * 0.01</f>
        <v>0.24472091502781368</v>
      </c>
      <c r="AM154" s="207">
        <f>INDEX($A$145:$H$158,MATCH($L154,$B$145:$B$158,0),MATCH($AA$144,$A$145:$H$145,0))*고양시_Modal_split!O$3 * 0.01</f>
        <v>0.44049764705006461</v>
      </c>
      <c r="AN154" s="207">
        <f>INDEX($A$145:$H$158,MATCH($L154,$B$145:$B$158,0),MATCH($AA$144,$A$145:$H$145,0))*고양시_Modal_split!P$3 * 0.01</f>
        <v>244.72091502781367</v>
      </c>
      <c r="AO154" s="303">
        <f>INDEX($A$145:$H$158,MATCH($L154,$B$145:$B$158,0),MATCH($AO$144,$A$145:$H$145,0))*고양시_Modal_split!C$3 * 0.01</f>
        <v>3.9309292848041764E-2</v>
      </c>
      <c r="AP154" s="303">
        <f>INDEX($A$145:$H$158,MATCH($L154,$B$145:$B$158,0),MATCH($AO$144,$A$145:$H$145,0))*고양시_Modal_split!D$3 * 0.01</f>
        <v>6.6025572951550169</v>
      </c>
      <c r="AQ154" s="303">
        <f>INDEX($A$145:$H$158,MATCH($L154,$B$145:$B$158,0),MATCH($AO$144,$A$145:$H$145,0))*고양시_Modal_split!E$3 * 0.01</f>
        <v>0.7988209868048487</v>
      </c>
      <c r="AR154" s="303">
        <f>INDEX($A$145:$H$158,MATCH($L154,$B$145:$B$158,0),MATCH($AO$144,$A$145:$H$145,0))*고양시_Modal_split!F$3 * 0.01</f>
        <v>1.287379340773368</v>
      </c>
      <c r="AS154" s="303">
        <f>INDEX($A$145:$H$158,MATCH($L154,$B$145:$B$158,0),MATCH($AO$144,$A$145:$H$145,0))*고양시_Modal_split!G$3 * 0.01</f>
        <v>0.12915910507213724</v>
      </c>
      <c r="AT154" s="303">
        <f>INDEX($A$145:$H$158,MATCH($L154,$B$145:$B$158,0),MATCH($AO$144,$A$145:$H$145,0))*고양시_Modal_split!H$3 * 0.01</f>
        <v>1.4039033160014919E-3</v>
      </c>
      <c r="AU154" s="303">
        <f>INDEX($A$145:$H$158,MATCH($L154,$B$145:$B$158,0),MATCH($AO$144,$A$145:$H$145,0))*고양시_Modal_split!I$3 * 0.01</f>
        <v>0.39028512184841468</v>
      </c>
      <c r="AV154" s="303">
        <f>INDEX($A$145:$H$158,MATCH($L154,$B$145:$B$158,0),MATCH($AO$144,$A$145:$H$145,0))*고양시_Modal_split!J$3 * 0.01</f>
        <v>4.2734816939085416</v>
      </c>
      <c r="AW154" s="303">
        <f>INDEX($A$145:$H$158,MATCH($L154,$B$145:$B$158,0),MATCH($AO$144,$A$145:$H$145,0))*고양시_Modal_split!K$3 * 0.01</f>
        <v>2.105854974002238E-2</v>
      </c>
      <c r="AX154" s="303">
        <f>INDEX($A$145:$H$158,MATCH($L154,$B$145:$B$158,0),MATCH($AO$144,$A$145:$H$145,0))*고양시_Modal_split!L$3 * 0.01</f>
        <v>0.42397880143245054</v>
      </c>
      <c r="AY154" s="303">
        <f>INDEX($A$145:$H$158,MATCH($L154,$B$145:$B$158,0),MATCH($AO$144,$A$145:$H$145,0))*고양시_Modal_split!M$3 * 0.01</f>
        <v>3.2289776268034309E-2</v>
      </c>
      <c r="AZ154" s="303">
        <f>INDEX($A$145:$H$158,MATCH($L154,$B$145:$B$158,0),MATCH($AO$144,$A$145:$H$145,0))*고양시_Modal_split!N$3 * 0.01</f>
        <v>1.4039033160014921E-2</v>
      </c>
      <c r="BA154" s="207">
        <f>INDEX($A$145:$H$158,MATCH($L154,$B$145:$B$158,0),MATCH($AO$144,$A$145:$H$145,0))*고양시_Modal_split!O$3 * 0.01</f>
        <v>2.5270259688026854E-2</v>
      </c>
      <c r="BB154" s="207">
        <f>INDEX($A$145:$H$158,MATCH($L154,$B$145:$B$158,0),MATCH($AO$144,$A$145:$H$145,0))*고양시_Modal_split!P$3 * 0.01</f>
        <v>14.03903316001492</v>
      </c>
      <c r="BC154" s="207">
        <f>INDEX($A$145:$H$158,MATCH($L154,$B$145:$B$158,0),MATCH($BC$144,$A$145:$H$145,0))*고양시_Modal_split!C$3 * 0.01</f>
        <v>6.1774687555854111E-5</v>
      </c>
      <c r="BD154" s="207">
        <f>INDEX($A$145:$H$158,MATCH($L154,$B$145:$B$158,0),MATCH($BC$144,$A$145:$H$145,0))*고양시_Modal_split!D$3 * 0.01</f>
        <v>1.0375941270542212E-2</v>
      </c>
      <c r="BE154" s="207">
        <f>INDEX($A$145:$H$158,MATCH($L154,$B$145:$B$158,0),MATCH($BC$144,$A$145:$H$145,0))*고양시_Modal_split!E$3 * 0.01</f>
        <v>1.2553499006886066E-3</v>
      </c>
      <c r="BF154" s="207">
        <f>INDEX($A$145:$H$158,MATCH($L154,$B$145:$B$158,0),MATCH($BC$144,$A$145:$H$145,0))*고양시_Modal_split!F$3 * 0.01</f>
        <v>2.0231210174542222E-3</v>
      </c>
      <c r="BG154" s="207">
        <f>INDEX($A$145:$H$158,MATCH($L154,$B$145:$B$158,0),MATCH($BC$144,$A$145:$H$145,0))*고양시_Modal_split!G$3 * 0.01</f>
        <v>2.0297397339780635E-4</v>
      </c>
      <c r="BH154" s="207">
        <f>INDEX($A$145:$H$158,MATCH($L154,$B$145:$B$158,0),MATCH($BC$144,$A$145:$H$145,0))*고양시_Modal_split!H$3 * 0.01</f>
        <v>2.2062388412805042E-6</v>
      </c>
      <c r="BI154" s="207">
        <f>INDEX($A$145:$H$158,MATCH($L154,$B$145:$B$158,0),MATCH($BC$144,$A$145:$H$145,0))*고양시_Modal_split!I$3 * 0.01</f>
        <v>6.1333439787598009E-4</v>
      </c>
      <c r="BJ154" s="207">
        <f>INDEX($A$145:$H$158,MATCH($L154,$B$145:$B$158,0),MATCH($BC$144,$A$145:$H$145,0))*고양시_Modal_split!J$3 * 0.01</f>
        <v>6.7157910328578541E-3</v>
      </c>
      <c r="BK154" s="207">
        <f>INDEX($A$145:$H$158,MATCH($L154,$B$145:$B$158,0),MATCH($BC$144,$A$145:$H$145,0))*고양시_Modal_split!K$3 * 0.01</f>
        <v>3.3093582619207554E-5</v>
      </c>
      <c r="BL154" s="207">
        <f>INDEX($A$145:$H$158,MATCH($L154,$B$145:$B$158,0),MATCH($BC$144,$A$145:$H$145,0))*고양시_Modal_split!L$3 * 0.01</f>
        <v>6.6628413006671213E-4</v>
      </c>
      <c r="BM154" s="207">
        <f>INDEX($A$145:$H$158,MATCH($L154,$B$145:$B$158,0),MATCH($BC$144,$A$145:$H$145,0))*고양시_Modal_split!M$3 * 0.01</f>
        <v>5.0743493349451588E-5</v>
      </c>
      <c r="BN154" s="207">
        <f>INDEX($A$145:$H$158,MATCH($L154,$B$145:$B$158,0),MATCH($BC$144,$A$145:$H$145,0))*고양시_Modal_split!N$3 * 0.01</f>
        <v>2.2062388412805042E-5</v>
      </c>
      <c r="BO154" s="207">
        <f>INDEX($A$145:$H$158,MATCH($L154,$B$145:$B$158,0),MATCH($BC$144,$A$145:$H$145,0))*고양시_Modal_split!O$3 * 0.01</f>
        <v>3.9712299143049065E-5</v>
      </c>
      <c r="BP154" s="207">
        <f>INDEX($A$145:$H$158,MATCH($L154,$B$145:$B$158,0),MATCH($BC$144,$A$145:$H$145,0))*고양시_Modal_split!P$3 * 0.01</f>
        <v>2.2062388412805039E-2</v>
      </c>
      <c r="BQ154" s="207">
        <f>INDEX($A$145:$H$158,MATCH($L154,$B$145:$B$158,0),MATCH($BQ$144,$A$145:$H$145,0))*고양시_Modal_split!C$3 * 0.01</f>
        <v>2.3337104187767091E-4</v>
      </c>
      <c r="BR154" s="207">
        <f>INDEX($A$145:$H$158,MATCH($L154,$B$145:$B$158,0),MATCH($BQ$144,$A$145:$H$145,0))*고양시_Modal_split!D$3 * 0.01</f>
        <v>3.9198000355381658E-2</v>
      </c>
      <c r="BS154" s="207">
        <f>INDEX($A$145:$H$158,MATCH($L154,$B$145:$B$158,0),MATCH($BQ$144,$A$145:$H$145,0))*고양시_Modal_split!E$3 * 0.01</f>
        <v>4.7424329581569552E-3</v>
      </c>
      <c r="BT154" s="207">
        <f>INDEX($A$145:$H$158,MATCH($L154,$B$145:$B$158,0),MATCH($BQ$144,$A$145:$H$145,0))*고양시_Modal_split!F$3 * 0.01</f>
        <v>7.6429016214937234E-3</v>
      </c>
      <c r="BU154" s="207">
        <f>INDEX($A$145:$H$158,MATCH($L154,$B$145:$B$158,0),MATCH($BQ$144,$A$145:$H$145,0))*고양시_Modal_split!G$3 * 0.01</f>
        <v>7.6679056616949014E-4</v>
      </c>
      <c r="BV154" s="207">
        <f>INDEX($A$145:$H$158,MATCH($L154,$B$145:$B$158,0),MATCH($BQ$144,$A$145:$H$145,0))*고양시_Modal_split!H$3 * 0.01</f>
        <v>8.3346800670596767E-6</v>
      </c>
      <c r="BW154" s="207">
        <f>INDEX($A$145:$H$158,MATCH($L154,$B$145:$B$158,0),MATCH($BQ$144,$A$145:$H$145,0))*고양시_Modal_split!I$3 * 0.01</f>
        <v>2.3170410586425896E-3</v>
      </c>
      <c r="BX154" s="207">
        <f>INDEX($A$145:$H$158,MATCH($L154,$B$145:$B$158,0),MATCH($BQ$144,$A$145:$H$145,0))*고양시_Modal_split!J$3 * 0.01</f>
        <v>2.5370766124129657E-2</v>
      </c>
      <c r="BY154" s="207">
        <f>INDEX($A$145:$H$158,MATCH($L154,$B$145:$B$158,0),MATCH($BQ$144,$A$145:$H$145,0))*고양시_Modal_split!K$3 * 0.01</f>
        <v>1.2502020100589513E-4</v>
      </c>
      <c r="BZ154" s="207">
        <f>INDEX($A$145:$H$158,MATCH($L154,$B$145:$B$158,0),MATCH($BQ$144,$A$145:$H$145,0))*고양시_Modal_split!L$3 * 0.01</f>
        <v>2.5170733802520225E-3</v>
      </c>
      <c r="CA154" s="207">
        <f>INDEX($A$145:$H$158,MATCH($L154,$B$145:$B$158,0),MATCH($BQ$144,$A$145:$H$145,0))*고양시_Modal_split!M$3 * 0.01</f>
        <v>1.9169764154237253E-4</v>
      </c>
      <c r="CB154" s="207">
        <f>INDEX($A$145:$H$158,MATCH($L154,$B$145:$B$158,0),MATCH($BQ$144,$A$145:$H$145,0))*고양시_Modal_split!N$3 * 0.01</f>
        <v>8.3346800670596756E-5</v>
      </c>
      <c r="CC154" s="207">
        <f>INDEX($A$145:$H$158,MATCH($L154,$B$145:$B$158,0),MATCH($BQ$144,$A$145:$H$145,0))*고양시_Modal_split!O$3 * 0.01</f>
        <v>1.5002424120707416E-4</v>
      </c>
      <c r="CD154" s="207">
        <f>INDEX($A$145:$H$158,MATCH($L154,$B$145:$B$158,0),MATCH($BQ$144,$A$145:$H$145,0))*고양시_Modal_split!P$3 * 0.01</f>
        <v>8.3346800670596757E-2</v>
      </c>
      <c r="CE154" s="304">
        <f t="shared" si="84"/>
        <v>0.8195030051159593</v>
      </c>
      <c r="CF154" s="304">
        <f t="shared" si="64"/>
        <v>137.64723689501275</v>
      </c>
      <c r="CG154" s="304">
        <f t="shared" si="65"/>
        <v>16.653471782535032</v>
      </c>
      <c r="CH154" s="304">
        <f t="shared" si="66"/>
        <v>26.838723417547666</v>
      </c>
      <c r="CI154" s="304">
        <f t="shared" si="67"/>
        <v>2.6926527310952948</v>
      </c>
      <c r="CJ154" s="304">
        <f t="shared" si="68"/>
        <v>2.926796446842712E-2</v>
      </c>
      <c r="CK154" s="304">
        <f t="shared" si="69"/>
        <v>8.1364941222227394</v>
      </c>
      <c r="CL154" s="304">
        <f t="shared" si="70"/>
        <v>89.091683841892149</v>
      </c>
      <c r="CM154" s="304">
        <f t="shared" si="71"/>
        <v>0.43901946702640682</v>
      </c>
      <c r="CN154" s="304">
        <f t="shared" si="72"/>
        <v>8.8389252694649905</v>
      </c>
      <c r="CO154" s="304">
        <f t="shared" si="73"/>
        <v>0.6731631827738237</v>
      </c>
      <c r="CP154" s="304">
        <f t="shared" si="74"/>
        <v>0.29267964468427116</v>
      </c>
      <c r="CQ154" s="304">
        <f t="shared" si="75"/>
        <v>0.52682336043168809</v>
      </c>
      <c r="CR154" s="304">
        <f t="shared" si="76"/>
        <v>292.67964468427118</v>
      </c>
      <c r="CS154" s="305">
        <f t="shared" si="85"/>
        <v>0</v>
      </c>
      <c r="CV154" s="267"/>
      <c r="CW154" s="267" t="s">
        <v>303</v>
      </c>
      <c r="CX154" s="267">
        <f>INDEX($M$144:$Z$158,MATCH($CW154,$L$144:$L$158,0),MATCH(CX$145,$M$145:$Z$145,0))/INDEX(고양시_재차인원!$D$4:$H$35,MATCH("고양시",고양시_재차인원!$B$4:$B$35,0),MATCH($CX$144,고양시_재차인원!$D$4:$H$4,0))</f>
        <v>14.198981536295561</v>
      </c>
      <c r="CY154" s="267">
        <f>INDEX($M$144:$Z$158,MATCH($CW154,$L$144:$L$158,0),MATCH(CY$145,$M$145:$Z$145,0))/INDEX(고양시_재차인원!$K$4:$O$20,MATCH("경기도",고양시_재차인원!$K$4:$K$20,0),MATCH(CY$145,고양시_재차인원!$K$4:$O$4,0))</f>
        <v>1.1745150158860438E-4</v>
      </c>
      <c r="CZ154" s="267">
        <f>INDEX($M$144:$Z$158,MATCH($CW154,$L$144:$L$158,0),MATCH(CZ$145,$M$145:$Z$145,0))/INDEX(고양시_재차인원!$K$4:$O$20,MATCH("경기도",고양시_재차인원!$K$4:$K$20,0),MATCH(CZ$145,고양시_재차인원!$K$4:$O$4,0))</f>
        <v>3.2651517441632014E-2</v>
      </c>
      <c r="DA154" s="267">
        <f>INDEX($M$144:$Z$158,MATCH($CW154,$L$144:$L$158,0),MATCH(DA$145,$M$145:$Z$145,0))/INDEX(고양시_재차인원!$D$4:$H$35,MATCH("고양시",고양시_재차인원!$B$4:$B$35,0),MATCH($CX$144,고양시_재차인원!$D$4:$H$4,0))</f>
        <v>0.91177810418057814</v>
      </c>
      <c r="DB154" s="267">
        <f>INDEX($AA$144:$AN$158,MATCH($CW154,$L$144:$L$158,0),MATCH(DB$145,$AA$145:$AN$145,0))/INDEX(고양시_재차인원!$D$4:$H$35,MATCH("고양시",고양시_재차인원!$B$4:$B$35,0),MATCH($DB$144,고양시_재차인원!$D$4:$H$4,0))</f>
        <v>81.625706622397729</v>
      </c>
      <c r="DC154" s="267">
        <f>INDEX($AA$144:$AN$158,MATCH($CW154,$L$144:$L$158,0),MATCH(DC$145,$AA$145:$AN$145,0))/INDEX(고양시_재차인원!$K$4:$O$20,MATCH("경기도",고양시_재차인원!$K$4:$K$20,0),MATCH(DC$145,고양시_재차인원!$K$4:$O$4,0))</f>
        <v>8.5002054542484792E-4</v>
      </c>
      <c r="DD154" s="267">
        <f>INDEX($AA$144:$AN$158,MATCH($CW154,$L$144:$L$158,0),MATCH(DD$145,$AA$145:$AN$145,0))/INDEX(고양시_재차인원!$K$4:$O$20,MATCH("경기도",고양시_재차인원!$K$4:$K$20,0),MATCH(DD$145,고양시_재차인원!$K$4:$O$4,0))</f>
        <v>0.23630571162810768</v>
      </c>
      <c r="DE154" s="267">
        <f>INDEX($AA$144:$AN$158,MATCH($CW154,$L$144:$L$158,0),MATCH(DE$145,$AA$145:$AN$145,0))/INDEX(고양시_재차인원!$D$4:$H$35,MATCH("고양시",고양시_재차인원!$B$4:$B$35,0),MATCH($DB$144,고양시_재차인원!$D$4:$H$4,0))</f>
        <v>5.2415401658439524</v>
      </c>
      <c r="DF154" s="267">
        <f>INDEX($AO$144:$BB$158,MATCH($CW154,$L$144:$L$158,0),MATCH(DF$145,$AO$145:$BB$145,0))/INDEX(고양시_재차인원!$D$4:$H$35,MATCH("고양시",고양시_재차인원!$B$4:$B$35,0),MATCH($DF$144,고양시_재차인원!$D$4:$H$4,0))</f>
        <v>5.0788902270423204</v>
      </c>
      <c r="DG154" s="267">
        <f>INDEX($AO$144:$BB$158,MATCH($CW154,$L$144:$L$158,0),MATCH(DG$145,$AO$145:$BB$145,0))/INDEX(고양시_재차인원!$K$4:$O$20,MATCH("경기도",고양시_재차인원!$K$4:$K$20,0),MATCH(DG$145,고양시_재차인원!$K$4:$O$4,0))</f>
        <v>4.8763574713493986E-5</v>
      </c>
      <c r="DH154" s="267">
        <f>INDEX($AO$144:$BB$158,MATCH($CW154,$L$144:$L$158,0),MATCH(DH$145,$AO$145:$BB$145,0))/INDEX(고양시_재차인원!$K$4:$O$20,MATCH("경기도",고양시_재차인원!$K$4:$K$20,0),MATCH(DH$145,고양시_재차인원!$K$4:$O$4,0))</f>
        <v>1.3556273770351327E-2</v>
      </c>
      <c r="DI154" s="267">
        <f>INDEX($AO$144:$BB$158,MATCH($CW154,$L$144:$L$158,0),MATCH(DI$145,$AO$145:$BB$145,0))/INDEX(고양시_재차인원!$D$4:$H$35,MATCH("고양시",고양시_재차인원!$B$4:$B$35,0),MATCH($DF$144,고양시_재차인원!$D$4:$H$4,0))</f>
        <v>0.32613753956342345</v>
      </c>
      <c r="DJ154" s="267">
        <f>INDEX($BC$144:$BP$158,MATCH($CW154,$L$144:$L$158,0),MATCH(DJ$145,$BC$145:$BP$145,0))/INDEX(고양시_재차인원!$D$4:$H$35,MATCH("고양시",고양시_재차인원!$B$4:$B$35,0),MATCH($DJ$144,고양시_재차인원!$D$4:$H$4,0))</f>
        <v>7.6293685812810373E-3</v>
      </c>
      <c r="DK154" s="267">
        <f>INDEX($BC$144:$BP$158,MATCH($CW154,$L$144:$L$158,0),MATCH(DK$145,$BC$145:$BP$145,0))/INDEX(고양시_재차인원!$K$4:$O$20,MATCH("경기도",고양시_재차인원!$K$4:$K$20,0),MATCH(DK$145,고양시_재차인원!$K$4:$O$4,0))</f>
        <v>7.6632123698523935E-8</v>
      </c>
      <c r="DL154" s="267">
        <f>INDEX($BC$144:$BP$158,MATCH($CW154,$L$144:$L$158,0),MATCH(DL$145,$BC$145:$BP$145,0))/INDEX(고양시_재차인원!$K$4:$O$20,MATCH("경기도",고양시_재차인원!$K$4:$K$20,0),MATCH(DL$145,고양시_재차인원!$K$4:$O$4,0))</f>
        <v>2.1303730388189653E-5</v>
      </c>
      <c r="DM154" s="267">
        <f>INDEX($BC$144:$BP$158,MATCH($CW154,$L$144:$L$158,0),MATCH(DM$145,$BC$145:$BP$145,0))/INDEX(고양시_재차인원!$D$4:$H$35,MATCH("고양시",고양시_재차인원!$B$4:$B$35,0),MATCH($DJ$144,고양시_재차인원!$D$4:$H$4,0))</f>
        <v>4.8991480151964128E-4</v>
      </c>
      <c r="DN154" s="267">
        <f>INDEX($BQ$144:$CD$158,MATCH($CW154,$L$144:$L$158,0),MATCH(DN$145,$BQ$145:$CD$145,0))/INDEX(고양시_재차인원!$D$4:$H$35,MATCH("고양시",고양시_재차인원!$B$4:$B$35,0),MATCH($DN$144,고양시_재차인원!$D$4:$H$4,0))</f>
        <v>3.1109524091572745E-2</v>
      </c>
      <c r="DO154" s="267">
        <f>INDEX($BQ$144:$CD$158,MATCH($CW154,$L$144:$L$158,0),MATCH(DO$145,$BQ$145:$CD$145,0))/INDEX(고양시_재차인원!$K$4:$O$20,MATCH("경기도",고양시_재차인원!$K$4:$K$20,0),MATCH(DO$145,고양시_재차인원!$K$4:$O$4,0))</f>
        <v>2.8949913397220136E-7</v>
      </c>
      <c r="DP154" s="267">
        <f>INDEX($BQ$144:$CD$158,MATCH($CW154,$L$144:$L$158,0),MATCH(DP$145,$BQ$145:$CD$145,0))/INDEX(고양시_재차인원!$K$4:$O$20,MATCH("경기도",고양시_재차인원!$K$4:$K$20,0),MATCH(DP$145,고양시_재차인원!$K$4:$O$4,0))</f>
        <v>8.0480759244271961E-5</v>
      </c>
      <c r="DQ154" s="267">
        <f>INDEX($BQ$144:$CD$158,MATCH($CW154,$L$144:$L$158,0),MATCH(DQ$145,$BQ$145:$CD$145,0))/INDEX(고양시_재차인원!$D$4:$H$35,MATCH("고양시",고양시_재차인원!$B$4:$B$35,0),MATCH($DN$144,고양시_재차인원!$D$4:$H$4,0))</f>
        <v>1.9976772859143037E-3</v>
      </c>
      <c r="DR154" s="270">
        <f t="shared" si="86"/>
        <v>100.94231727840847</v>
      </c>
      <c r="DS154" s="270">
        <f t="shared" si="77"/>
        <v>1.0166017529846169E-3</v>
      </c>
      <c r="DT154" s="270">
        <f t="shared" si="78"/>
        <v>0.28261528732972346</v>
      </c>
      <c r="DU154" s="270">
        <f t="shared" si="79"/>
        <v>6.4819434016753883</v>
      </c>
      <c r="DW154" s="278"/>
      <c r="DX154" s="278" t="s">
        <v>303</v>
      </c>
      <c r="DY154" s="281">
        <f t="shared" si="87"/>
        <v>107.42426068008386</v>
      </c>
      <c r="DZ154" s="281">
        <f t="shared" si="88"/>
        <v>0.28363188908270809</v>
      </c>
      <c r="EB154" s="278"/>
      <c r="EC154" s="278" t="s">
        <v>303</v>
      </c>
      <c r="ED154" s="281">
        <f t="shared" si="89"/>
        <v>107.42426068008386</v>
      </c>
      <c r="EE154" s="281">
        <f t="shared" si="80"/>
        <v>0.28363188908270809</v>
      </c>
      <c r="EL154" s="306" t="s">
        <v>667</v>
      </c>
      <c r="EM154" s="306" t="s">
        <v>76</v>
      </c>
      <c r="EN154" s="306">
        <v>25868.347099999999</v>
      </c>
      <c r="EO154" s="306">
        <v>0.13929345213562067</v>
      </c>
      <c r="EP154" s="307">
        <v>849109</v>
      </c>
      <c r="EQ154" s="308">
        <f t="shared" si="90"/>
        <v>572.28593454530278</v>
      </c>
      <c r="ER154" s="308">
        <f t="shared" si="91"/>
        <v>1.5110044945428296</v>
      </c>
      <c r="ET154" s="420" t="s">
        <v>667</v>
      </c>
      <c r="EU154" s="420" t="s">
        <v>76</v>
      </c>
      <c r="EV154" s="420">
        <v>25868.347099999999</v>
      </c>
      <c r="EW154" s="420">
        <v>0.13929345213562067</v>
      </c>
      <c r="EX154" s="421">
        <v>849109</v>
      </c>
      <c r="EY154" s="422">
        <f t="shared" si="92"/>
        <v>555.97578541076166</v>
      </c>
      <c r="EZ154" s="422">
        <f t="shared" si="81"/>
        <v>1.4679408664483591</v>
      </c>
      <c r="FA154">
        <v>0</v>
      </c>
      <c r="FD154" s="306" t="s">
        <v>667</v>
      </c>
      <c r="FE154" s="306" t="s">
        <v>76</v>
      </c>
      <c r="FF154" s="306">
        <v>25868.347099999999</v>
      </c>
      <c r="FG154" s="306">
        <v>0.13929345213562067</v>
      </c>
      <c r="FH154" s="307">
        <v>849109</v>
      </c>
      <c r="FI154" s="308">
        <f t="shared" si="82"/>
        <v>555.97578541076166</v>
      </c>
      <c r="FJ154" s="308">
        <f t="shared" si="83"/>
        <v>1.4679408664483591</v>
      </c>
      <c r="FL154" s="101"/>
      <c r="FM154" s="101"/>
      <c r="FN154" s="101"/>
      <c r="FO154" s="101"/>
      <c r="FP154" s="374"/>
      <c r="FQ154" s="404"/>
      <c r="FR154" s="404"/>
    </row>
    <row r="155" spans="1:174">
      <c r="A155" s="205"/>
      <c r="B155" s="205" t="s">
        <v>304</v>
      </c>
      <c r="C155" s="400">
        <f>$AB70*KTDB_TripDistribution_2045!T$12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3.119604759822264</v>
      </c>
      <c r="D155" s="400">
        <f>$AB70*KTDB_TripDistribution_2045!U$12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22.577217860885611</v>
      </c>
      <c r="E155" s="400">
        <f>$AB70*KTDB_TripDistribution_2045!V$12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1.2951991053720515</v>
      </c>
      <c r="F155" s="400">
        <f>$AB70*KTDB_TripDistribution_2045!W$12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2.0354098041467589E-3</v>
      </c>
      <c r="G155" s="400">
        <f>$AB70*KTDB_TripDistribution_2045!X$12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7.6893259267766384E-3</v>
      </c>
      <c r="H155" s="400">
        <f>$AB70*KTDB_TripDistribution_2045!Y$12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27.00174646181085</v>
      </c>
      <c r="I155" s="56"/>
      <c r="J155" s="56"/>
      <c r="K155" s="206"/>
      <c r="L155" s="206" t="s">
        <v>304</v>
      </c>
      <c r="M155" s="206">
        <f>INDEX($A$145:$H$158,MATCH($L155,$B$145:$B$158,0),MATCH($M$144,$A$145:$H$145,0))*고양시_Modal_split!C$3 * 0.01</f>
        <v>8.7348933275023383E-3</v>
      </c>
      <c r="N155" s="206">
        <f>INDEX($A$145:$H$158,MATCH($L155,$B$145:$B$158,0),MATCH($M$144,$A$145:$H$145,0))*고양시_Modal_split!D$3 * 0.01</f>
        <v>1.4671501185444109</v>
      </c>
      <c r="O155" s="206">
        <f>INDEX($A$145:$H$158,MATCH($L155,$B$145:$B$158,0),MATCH($M$144,$A$145:$H$145,0))*고양시_Modal_split!E$3 * 0.01</f>
        <v>0.17750551083388683</v>
      </c>
      <c r="P155" s="206">
        <f>INDEX($A$145:$H$158,MATCH($L155,$B$145:$B$158,0),MATCH($M$144,$A$145:$H$145,0))*고양시_Modal_split!F$3 * 0.01</f>
        <v>0.2860677564757016</v>
      </c>
      <c r="Q155" s="206">
        <f>INDEX($A$145:$H$158,MATCH($L155,$B$145:$B$158,0),MATCH($M$144,$A$145:$H$145,0))*고양시_Modal_split!G$3 * 0.01</f>
        <v>2.8700363790364829E-2</v>
      </c>
      <c r="R155" s="206">
        <f>INDEX($A$145:$H$158,MATCH($L155,$B$145:$B$158,0),MATCH($M$144,$A$145:$H$145,0))*고양시_Modal_split!H$3 * 0.01</f>
        <v>3.1196047598222641E-4</v>
      </c>
      <c r="S155" s="206">
        <f>INDEX($A$145:$H$158,MATCH($L155,$B$145:$B$158,0),MATCH($M$144,$A$145:$H$145,0))*고양시_Modal_split!I$3 * 0.01</f>
        <v>8.6725012323058945E-2</v>
      </c>
      <c r="T155" s="206">
        <f>INDEX($A$145:$H$158,MATCH($L155,$B$145:$B$158,0),MATCH($M$144,$A$145:$H$145,0))*고양시_Modal_split!J$3 * 0.01</f>
        <v>0.94960768888989722</v>
      </c>
      <c r="U155" s="206">
        <f>INDEX($A$145:$H$158,MATCH($L155,$B$145:$B$158,0),MATCH($M$144,$A$145:$H$145,0))*고양시_Modal_split!K$3 * 0.01</f>
        <v>4.6794071397333959E-3</v>
      </c>
      <c r="V155" s="206">
        <f>INDEX($A$145:$H$158,MATCH($L155,$B$145:$B$158,0),MATCH($M$144,$A$145:$H$145,0))*고양시_Modal_split!L$3 * 0.01</f>
        <v>9.421206374663238E-2</v>
      </c>
      <c r="W155" s="206">
        <f>INDEX($A$145:$H$158,MATCH($L155,$B$145:$B$158,0),MATCH($M$144,$A$145:$H$145,0))*고양시_Modal_split!M$3 * 0.01</f>
        <v>7.1750909475912072E-3</v>
      </c>
      <c r="X155" s="206">
        <f>INDEX($A$145:$H$158,MATCH($L155,$B$145:$B$158,0),MATCH($M$144,$A$145:$H$145,0))*고양시_Modal_split!N$3 * 0.01</f>
        <v>3.1196047598222643E-3</v>
      </c>
      <c r="Y155" s="206">
        <f>INDEX($A$145:$H$158,MATCH($L155,$B$145:$B$158,0),MATCH($M$144,$A$145:$H$145,0))*고양시_Modal_split!O$3 * 0.01</f>
        <v>5.6152885676800744E-3</v>
      </c>
      <c r="Z155" s="209">
        <f>INDEX($A$145:$H$158,MATCH($L155,$B$145:$B$158,0),MATCH($M$144,$A$145:$H$145,0))*고양시_Modal_split!P$3 * 0.01</f>
        <v>3.119604759822264</v>
      </c>
      <c r="AA155" s="207">
        <f>INDEX($A$145:$H$158,MATCH($L155,$B$145:$B$158,0),MATCH($AA$144,$A$145:$H$145,0))*고양시_Modal_split!C$3 * 0.01</f>
        <v>6.3216210010479695E-2</v>
      </c>
      <c r="AB155" s="207">
        <f>INDEX($A$145:$H$158,MATCH($L155,$B$145:$B$158,0),MATCH($AA$144,$A$145:$H$145,0))*고양시_Modal_split!D$3 * 0.01</f>
        <v>10.618065559974502</v>
      </c>
      <c r="AC155" s="207">
        <f>INDEX($A$145:$H$158,MATCH($L155,$B$145:$B$158,0),MATCH($AA$144,$A$145:$H$145,0))*고양시_Modal_split!E$3 * 0.01</f>
        <v>1.284643696284391</v>
      </c>
      <c r="AD155" s="207">
        <f>INDEX($A$145:$H$158,MATCH($L155,$B$145:$B$158,0),MATCH($AA$144,$A$145:$H$145,0))*고양시_Modal_split!F$3 * 0.01</f>
        <v>2.0703308778432108</v>
      </c>
      <c r="AE155" s="207">
        <f>INDEX($A$145:$H$158,MATCH($L155,$B$145:$B$158,0),MATCH($AA$144,$A$145:$H$145,0))*고양시_Modal_split!G$3 * 0.01</f>
        <v>0.20771040432014762</v>
      </c>
      <c r="AF155" s="207">
        <f>INDEX($A$145:$H$158,MATCH($L155,$B$145:$B$158,0),MATCH($AA$144,$A$145:$H$145,0))*고양시_Modal_split!H$3 * 0.01</f>
        <v>2.2577217860885613E-3</v>
      </c>
      <c r="AG155" s="207">
        <f>INDEX($A$145:$H$158,MATCH($L155,$B$145:$B$158,0),MATCH($AA$144,$A$145:$H$145,0))*고양시_Modal_split!I$3 * 0.01</f>
        <v>0.62764665653261997</v>
      </c>
      <c r="AH155" s="207">
        <f>INDEX($A$145:$H$158,MATCH($L155,$B$145:$B$158,0),MATCH($AA$144,$A$145:$H$145,0))*고양시_Modal_split!J$3 * 0.01</f>
        <v>6.8725051168535805</v>
      </c>
      <c r="AI155" s="207">
        <f>INDEX($A$145:$H$158,MATCH($L155,$B$145:$B$158,0),MATCH($AA$144,$A$145:$H$145,0))*고양시_Modal_split!K$3 * 0.01</f>
        <v>3.3865826791328421E-2</v>
      </c>
      <c r="AJ155" s="207">
        <f>INDEX($A$145:$H$158,MATCH($L155,$B$145:$B$158,0),MATCH($AA$144,$A$145:$H$145,0))*고양시_Modal_split!L$3 * 0.01</f>
        <v>0.68183197939874551</v>
      </c>
      <c r="AK155" s="207">
        <f>INDEX($A$145:$H$158,MATCH($L155,$B$145:$B$158,0),MATCH($AA$144,$A$145:$H$145,0))*고양시_Modal_split!M$3 * 0.01</f>
        <v>5.1927601080036905E-2</v>
      </c>
      <c r="AL155" s="207">
        <f>INDEX($A$145:$H$158,MATCH($L155,$B$145:$B$158,0),MATCH($AA$144,$A$145:$H$145,0))*고양시_Modal_split!N$3 * 0.01</f>
        <v>2.2577217860885609E-2</v>
      </c>
      <c r="AM155" s="207">
        <f>INDEX($A$145:$H$158,MATCH($L155,$B$145:$B$158,0),MATCH($AA$144,$A$145:$H$145,0))*고양시_Modal_split!O$3 * 0.01</f>
        <v>4.0638992149594093E-2</v>
      </c>
      <c r="AN155" s="207">
        <f>INDEX($A$145:$H$158,MATCH($L155,$B$145:$B$158,0),MATCH($AA$144,$A$145:$H$145,0))*고양시_Modal_split!P$3 * 0.01</f>
        <v>22.577217860885611</v>
      </c>
      <c r="AO155" s="303">
        <f>INDEX($A$145:$H$158,MATCH($L155,$B$145:$B$158,0),MATCH($AO$144,$A$145:$H$145,0))*고양시_Modal_split!C$3 * 0.01</f>
        <v>3.626557495041744E-3</v>
      </c>
      <c r="AP155" s="303">
        <f>INDEX($A$145:$H$158,MATCH($L155,$B$145:$B$158,0),MATCH($AO$144,$A$145:$H$145,0))*고양시_Modal_split!D$3 * 0.01</f>
        <v>0.6091321392564758</v>
      </c>
      <c r="AQ155" s="303">
        <f>INDEX($A$145:$H$158,MATCH($L155,$B$145:$B$158,0),MATCH($AO$144,$A$145:$H$145,0))*고양시_Modal_split!E$3 * 0.01</f>
        <v>7.3696829095669728E-2</v>
      </c>
      <c r="AR155" s="303">
        <f>INDEX($A$145:$H$158,MATCH($L155,$B$145:$B$158,0),MATCH($AO$144,$A$145:$H$145,0))*고양시_Modal_split!F$3 * 0.01</f>
        <v>0.11876975796261713</v>
      </c>
      <c r="AS155" s="303">
        <f>INDEX($A$145:$H$158,MATCH($L155,$B$145:$B$158,0),MATCH($AO$144,$A$145:$H$145,0))*고양시_Modal_split!G$3 * 0.01</f>
        <v>1.1915831769422874E-2</v>
      </c>
      <c r="AT155" s="303">
        <f>INDEX($A$145:$H$158,MATCH($L155,$B$145:$B$158,0),MATCH($AO$144,$A$145:$H$145,0))*고양시_Modal_split!H$3 * 0.01</f>
        <v>1.2951991053720515E-4</v>
      </c>
      <c r="AU155" s="303">
        <f>INDEX($A$145:$H$158,MATCH($L155,$B$145:$B$158,0),MATCH($AO$144,$A$145:$H$145,0))*고양시_Modal_split!I$3 * 0.01</f>
        <v>3.6006535129343029E-2</v>
      </c>
      <c r="AV155" s="303">
        <f>INDEX($A$145:$H$158,MATCH($L155,$B$145:$B$158,0),MATCH($AO$144,$A$145:$H$145,0))*고양시_Modal_split!J$3 * 0.01</f>
        <v>0.3942586076752525</v>
      </c>
      <c r="AW155" s="303">
        <f>INDEX($A$145:$H$158,MATCH($L155,$B$145:$B$158,0),MATCH($AO$144,$A$145:$H$145,0))*고양시_Modal_split!K$3 * 0.01</f>
        <v>1.9427986580580774E-3</v>
      </c>
      <c r="AX155" s="303">
        <f>INDEX($A$145:$H$158,MATCH($L155,$B$145:$B$158,0),MATCH($AO$144,$A$145:$H$145,0))*고양시_Modal_split!L$3 * 0.01</f>
        <v>3.9115012982235957E-2</v>
      </c>
      <c r="AY155" s="303">
        <f>INDEX($A$145:$H$158,MATCH($L155,$B$145:$B$158,0),MATCH($AO$144,$A$145:$H$145,0))*고양시_Modal_split!M$3 * 0.01</f>
        <v>2.9789579423557186E-3</v>
      </c>
      <c r="AZ155" s="303">
        <f>INDEX($A$145:$H$158,MATCH($L155,$B$145:$B$158,0),MATCH($AO$144,$A$145:$H$145,0))*고양시_Modal_split!N$3 * 0.01</f>
        <v>1.2951991053720515E-3</v>
      </c>
      <c r="BA155" s="207">
        <f>INDEX($A$145:$H$158,MATCH($L155,$B$145:$B$158,0),MATCH($AO$144,$A$145:$H$145,0))*고양시_Modal_split!O$3 * 0.01</f>
        <v>2.3313583896696927E-3</v>
      </c>
      <c r="BB155" s="207">
        <f>INDEX($A$145:$H$158,MATCH($L155,$B$145:$B$158,0),MATCH($AO$144,$A$145:$H$145,0))*고양시_Modal_split!P$3 * 0.01</f>
        <v>1.2951991053720517</v>
      </c>
      <c r="BC155" s="207">
        <f>INDEX($A$145:$H$158,MATCH($L155,$B$145:$B$158,0),MATCH($BC$144,$A$145:$H$145,0))*고양시_Modal_split!C$3 * 0.01</f>
        <v>5.6991474516109247E-6</v>
      </c>
      <c r="BD155" s="207">
        <f>INDEX($A$145:$H$158,MATCH($L155,$B$145:$B$158,0),MATCH($BC$144,$A$145:$H$145,0))*고양시_Modal_split!D$3 * 0.01</f>
        <v>9.5725323089022071E-4</v>
      </c>
      <c r="BE155" s="207">
        <f>INDEX($A$145:$H$158,MATCH($L155,$B$145:$B$158,0),MATCH($BC$144,$A$145:$H$145,0))*고양시_Modal_split!E$3 * 0.01</f>
        <v>1.1581481785595058E-4</v>
      </c>
      <c r="BF155" s="207">
        <f>INDEX($A$145:$H$158,MATCH($L155,$B$145:$B$158,0),MATCH($BC$144,$A$145:$H$145,0))*고양시_Modal_split!F$3 * 0.01</f>
        <v>1.8664707904025781E-4</v>
      </c>
      <c r="BG155" s="207">
        <f>INDEX($A$145:$H$158,MATCH($L155,$B$145:$B$158,0),MATCH($BC$144,$A$145:$H$145,0))*고양시_Modal_split!G$3 * 0.01</f>
        <v>1.8725770198150179E-5</v>
      </c>
      <c r="BH155" s="207">
        <f>INDEX($A$145:$H$158,MATCH($L155,$B$145:$B$158,0),MATCH($BC$144,$A$145:$H$145,0))*고양시_Modal_split!H$3 * 0.01</f>
        <v>2.035409804146759E-7</v>
      </c>
      <c r="BI155" s="207">
        <f>INDEX($A$145:$H$158,MATCH($L155,$B$145:$B$158,0),MATCH($BC$144,$A$145:$H$145,0))*고양시_Modal_split!I$3 * 0.01</f>
        <v>5.65843925552799E-5</v>
      </c>
      <c r="BJ155" s="207">
        <f>INDEX($A$145:$H$158,MATCH($L155,$B$145:$B$158,0),MATCH($BC$144,$A$145:$H$145,0))*고양시_Modal_split!J$3 * 0.01</f>
        <v>6.1957874438227345E-4</v>
      </c>
      <c r="BK155" s="207">
        <f>INDEX($A$145:$H$158,MATCH($L155,$B$145:$B$158,0),MATCH($BC$144,$A$145:$H$145,0))*고양시_Modal_split!K$3 * 0.01</f>
        <v>3.0531147062201382E-6</v>
      </c>
      <c r="BL155" s="207">
        <f>INDEX($A$145:$H$158,MATCH($L155,$B$145:$B$158,0),MATCH($BC$144,$A$145:$H$145,0))*고양시_Modal_split!L$3 * 0.01</f>
        <v>6.146937608523212E-5</v>
      </c>
      <c r="BM155" s="207">
        <f>INDEX($A$145:$H$158,MATCH($L155,$B$145:$B$158,0),MATCH($BC$144,$A$145:$H$145,0))*고양시_Modal_split!M$3 * 0.01</f>
        <v>4.6814425495375447E-6</v>
      </c>
      <c r="BN155" s="207">
        <f>INDEX($A$145:$H$158,MATCH($L155,$B$145:$B$158,0),MATCH($BC$144,$A$145:$H$145,0))*고양시_Modal_split!N$3 * 0.01</f>
        <v>2.0354098041467591E-6</v>
      </c>
      <c r="BO155" s="207">
        <f>INDEX($A$145:$H$158,MATCH($L155,$B$145:$B$158,0),MATCH($BC$144,$A$145:$H$145,0))*고양시_Modal_split!O$3 * 0.01</f>
        <v>3.6637376474641661E-6</v>
      </c>
      <c r="BP155" s="207">
        <f>INDEX($A$145:$H$158,MATCH($L155,$B$145:$B$158,0),MATCH($BC$144,$A$145:$H$145,0))*고양시_Modal_split!P$3 * 0.01</f>
        <v>2.0354098041467589E-3</v>
      </c>
      <c r="BQ155" s="207">
        <f>INDEX($A$145:$H$158,MATCH($L155,$B$145:$B$158,0),MATCH($BQ$144,$A$145:$H$145,0))*고양시_Modal_split!C$3 * 0.01</f>
        <v>2.1530112594974586E-5</v>
      </c>
      <c r="BR155" s="207">
        <f>INDEX($A$145:$H$158,MATCH($L155,$B$145:$B$158,0),MATCH($BQ$144,$A$145:$H$145,0))*고양시_Modal_split!D$3 * 0.01</f>
        <v>3.6162899833630528E-3</v>
      </c>
      <c r="BS155" s="207">
        <f>INDEX($A$145:$H$158,MATCH($L155,$B$145:$B$158,0),MATCH($BQ$144,$A$145:$H$145,0))*고양시_Modal_split!E$3 * 0.01</f>
        <v>4.3752264523359071E-4</v>
      </c>
      <c r="BT155" s="207">
        <f>INDEX($A$145:$H$158,MATCH($L155,$B$145:$B$158,0),MATCH($BQ$144,$A$145:$H$145,0))*고양시_Modal_split!F$3 * 0.01</f>
        <v>7.0511118748541773E-4</v>
      </c>
      <c r="BU155" s="207">
        <f>INDEX($A$145:$H$158,MATCH($L155,$B$145:$B$158,0),MATCH($BQ$144,$A$145:$H$145,0))*고양시_Modal_split!G$3 * 0.01</f>
        <v>7.0741798526345069E-5</v>
      </c>
      <c r="BV155" s="207">
        <f>INDEX($A$145:$H$158,MATCH($L155,$B$145:$B$158,0),MATCH($BQ$144,$A$145:$H$145,0))*고양시_Modal_split!H$3 * 0.01</f>
        <v>7.6893259267766397E-7</v>
      </c>
      <c r="BW155" s="207">
        <f>INDEX($A$145:$H$158,MATCH($L155,$B$145:$B$158,0),MATCH($BQ$144,$A$145:$H$145,0))*고양시_Modal_split!I$3 * 0.01</f>
        <v>2.1376326076439056E-4</v>
      </c>
      <c r="BX155" s="207">
        <f>INDEX($A$145:$H$158,MATCH($L155,$B$145:$B$158,0),MATCH($BQ$144,$A$145:$H$145,0))*고양시_Modal_split!J$3 * 0.01</f>
        <v>2.340630812110809E-3</v>
      </c>
      <c r="BY155" s="207">
        <f>INDEX($A$145:$H$158,MATCH($L155,$B$145:$B$158,0),MATCH($BQ$144,$A$145:$H$145,0))*고양시_Modal_split!K$3 * 0.01</f>
        <v>1.1533988890164958E-5</v>
      </c>
      <c r="BZ155" s="207">
        <f>INDEX($A$145:$H$158,MATCH($L155,$B$145:$B$158,0),MATCH($BQ$144,$A$145:$H$145,0))*고양시_Modal_split!L$3 * 0.01</f>
        <v>2.3221764298865448E-4</v>
      </c>
      <c r="CA155" s="207">
        <f>INDEX($A$145:$H$158,MATCH($L155,$B$145:$B$158,0),MATCH($BQ$144,$A$145:$H$145,0))*고양시_Modal_split!M$3 * 0.01</f>
        <v>1.7685449631586267E-5</v>
      </c>
      <c r="CB155" s="207">
        <f>INDEX($A$145:$H$158,MATCH($L155,$B$145:$B$158,0),MATCH($BQ$144,$A$145:$H$145,0))*고양시_Modal_split!N$3 * 0.01</f>
        <v>7.6893259267766382E-6</v>
      </c>
      <c r="CC155" s="207">
        <f>INDEX($A$145:$H$158,MATCH($L155,$B$145:$B$158,0),MATCH($BQ$144,$A$145:$H$145,0))*고양시_Modal_split!O$3 * 0.01</f>
        <v>1.3840786668197949E-5</v>
      </c>
      <c r="CD155" s="207">
        <f>INDEX($A$145:$H$158,MATCH($L155,$B$145:$B$158,0),MATCH($BQ$144,$A$145:$H$145,0))*고양시_Modal_split!P$3 * 0.01</f>
        <v>7.6893259267766384E-3</v>
      </c>
      <c r="CE155" s="304">
        <f t="shared" si="84"/>
        <v>7.5604890093070365E-2</v>
      </c>
      <c r="CF155" s="304">
        <f t="shared" si="64"/>
        <v>12.698921360989642</v>
      </c>
      <c r="CG155" s="304">
        <f t="shared" si="65"/>
        <v>1.5363993736770369</v>
      </c>
      <c r="CH155" s="304">
        <f t="shared" si="66"/>
        <v>2.4760601505480553</v>
      </c>
      <c r="CI155" s="304">
        <f t="shared" si="67"/>
        <v>0.24841606744865982</v>
      </c>
      <c r="CJ155" s="304">
        <f t="shared" si="68"/>
        <v>2.7001746461810853E-3</v>
      </c>
      <c r="CK155" s="304">
        <f t="shared" si="69"/>
        <v>0.75064855163834165</v>
      </c>
      <c r="CL155" s="304">
        <f t="shared" si="70"/>
        <v>8.2193316229752238</v>
      </c>
      <c r="CM155" s="304">
        <f t="shared" si="71"/>
        <v>4.0502619692716277E-2</v>
      </c>
      <c r="CN155" s="304">
        <f t="shared" si="72"/>
        <v>0.8154527431466877</v>
      </c>
      <c r="CO155" s="304">
        <f t="shared" si="73"/>
        <v>6.2104016862164955E-2</v>
      </c>
      <c r="CP155" s="304">
        <f t="shared" si="74"/>
        <v>2.700174646181085E-2</v>
      </c>
      <c r="CQ155" s="304">
        <f t="shared" si="75"/>
        <v>4.8603143631259518E-2</v>
      </c>
      <c r="CR155" s="304">
        <f t="shared" si="76"/>
        <v>27.00174646181085</v>
      </c>
      <c r="CS155" s="305">
        <f t="shared" si="85"/>
        <v>0</v>
      </c>
      <c r="CV155" s="267"/>
      <c r="CW155" s="267" t="s">
        <v>304</v>
      </c>
      <c r="CX155" s="267">
        <f>INDEX($M$144:$Z$158,MATCH($CW155,$L$144:$L$158,0),MATCH(CX$145,$M$145:$Z$145,0))/INDEX(고양시_재차인원!$D$4:$H$35,MATCH("고양시",고양시_재차인원!$B$4:$B$35,0),MATCH($CX$144,고양시_재차인원!$D$4:$H$4,0))</f>
        <v>1.309955462986081</v>
      </c>
      <c r="CY155" s="267">
        <f>INDEX($M$144:$Z$158,MATCH($CW155,$L$144:$L$158,0),MATCH(CY$145,$M$145:$Z$145,0))/INDEX(고양시_재차인원!$K$4:$O$20,MATCH("경기도",고양시_재차인원!$K$4:$K$20,0),MATCH(CY$145,고양시_재차인원!$K$4:$O$4,0))</f>
        <v>1.083572337555493E-5</v>
      </c>
      <c r="CZ155" s="267">
        <f>INDEX($M$144:$Z$158,MATCH($CW155,$L$144:$L$158,0),MATCH(CZ$145,$M$145:$Z$145,0))/INDEX(고양시_재차인원!$K$4:$O$20,MATCH("경기도",고양시_재차인원!$K$4:$K$20,0),MATCH(CZ$145,고양시_재차인원!$K$4:$O$4,0))</f>
        <v>3.0123310984042704E-3</v>
      </c>
      <c r="DA155" s="267">
        <f>INDEX($M$144:$Z$158,MATCH($CW155,$L$144:$L$158,0),MATCH(DA$145,$M$145:$Z$145,0))/INDEX(고양시_재차인원!$D$4:$H$35,MATCH("고양시",고양시_재차인원!$B$4:$B$35,0),MATCH($CX$144,고양시_재차인원!$D$4:$H$4,0))</f>
        <v>8.411791405949319E-2</v>
      </c>
      <c r="DB155" s="267">
        <f>INDEX($AA$144:$AN$158,MATCH($CW155,$L$144:$L$158,0),MATCH(DB$145,$AA$145:$AN$145,0))/INDEX(고양시_재차인원!$D$4:$H$35,MATCH("고양시",고양시_재차인원!$B$4:$B$35,0),MATCH($DB$144,고양시_재차인원!$D$4:$H$4,0))</f>
        <v>7.5305429503365264</v>
      </c>
      <c r="DC155" s="267">
        <f>INDEX($AA$144:$AN$158,MATCH($CW155,$L$144:$L$158,0),MATCH(DC$145,$AA$145:$AN$145,0))/INDEX(고양시_재차인원!$K$4:$O$20,MATCH("경기도",고양시_재차인원!$K$4:$K$20,0),MATCH(DC$145,고양시_재차인원!$K$4:$O$4,0))</f>
        <v>7.8420346859623527E-5</v>
      </c>
      <c r="DD155" s="267">
        <f>INDEX($AA$144:$AN$158,MATCH($CW155,$L$144:$L$158,0),MATCH(DD$145,$AA$145:$AN$145,0))/INDEX(고양시_재차인원!$K$4:$O$20,MATCH("경기도",고양시_재차인원!$K$4:$K$20,0),MATCH(DD$145,고양시_재차인원!$K$4:$O$4,0))</f>
        <v>2.1800856426975337E-2</v>
      </c>
      <c r="DE155" s="267">
        <f>INDEX($AA$144:$AN$158,MATCH($CW155,$L$144:$L$158,0),MATCH(DE$145,$AA$145:$AN$145,0))/INDEX(고양시_재차인원!$D$4:$H$35,MATCH("고양시",고양시_재차인원!$B$4:$B$35,0),MATCH($DB$144,고양시_재차인원!$D$4:$H$4,0))</f>
        <v>0.48356877971542239</v>
      </c>
      <c r="DF155" s="267">
        <f>INDEX($AO$144:$BB$158,MATCH($CW155,$L$144:$L$158,0),MATCH(DF$145,$AO$145:$BB$145,0))/INDEX(고양시_재차인원!$D$4:$H$35,MATCH("고양시",고양시_재차인원!$B$4:$B$35,0),MATCH($DF$144,고양시_재차인원!$D$4:$H$4,0))</f>
        <v>0.46856318404344288</v>
      </c>
      <c r="DG155" s="267">
        <f>INDEX($AO$144:$BB$158,MATCH($CW155,$L$144:$L$158,0),MATCH(DG$145,$AO$145:$BB$145,0))/INDEX(고양시_재차인원!$K$4:$O$20,MATCH("경기도",고양시_재차인원!$K$4:$K$20,0),MATCH(DG$145,고양시_재차인원!$K$4:$O$4,0))</f>
        <v>4.4987811926781926E-6</v>
      </c>
      <c r="DH155" s="267">
        <f>INDEX($AO$144:$BB$158,MATCH($CW155,$L$144:$L$158,0),MATCH(DH$145,$AO$145:$BB$145,0))/INDEX(고양시_재차인원!$K$4:$O$20,MATCH("경기도",고양시_재차인원!$K$4:$K$20,0),MATCH(DH$145,고양시_재차인원!$K$4:$O$4,0))</f>
        <v>1.2506611715645372E-3</v>
      </c>
      <c r="DI155" s="267">
        <f>INDEX($AO$144:$BB$158,MATCH($CW155,$L$144:$L$158,0),MATCH(DI$145,$AO$145:$BB$145,0))/INDEX(고양시_재차인원!$D$4:$H$35,MATCH("고양시",고양시_재차인원!$B$4:$B$35,0),MATCH($DF$144,고양시_재차인원!$D$4:$H$4,0))</f>
        <v>3.0088471524796889E-2</v>
      </c>
      <c r="DJ155" s="267">
        <f>INDEX($BC$144:$BP$158,MATCH($CW155,$L$144:$L$158,0),MATCH(DJ$145,$BC$145:$BP$145,0))/INDEX(고양시_재차인원!$D$4:$H$35,MATCH("고양시",고양시_재차인원!$B$4:$B$35,0),MATCH($DJ$144,고양시_재차인원!$D$4:$H$4,0))</f>
        <v>7.0386266977222106E-4</v>
      </c>
      <c r="DK155" s="267">
        <f>INDEX($BC$144:$BP$158,MATCH($CW155,$L$144:$L$158,0),MATCH(DK$145,$BC$145:$BP$145,0))/INDEX(고양시_재차인원!$K$4:$O$20,MATCH("경기도",고양시_재차인원!$K$4:$K$20,0),MATCH(DK$145,고양시_재차인원!$K$4:$O$4,0))</f>
        <v>7.0698499623020459E-9</v>
      </c>
      <c r="DL155" s="267">
        <f>INDEX($BC$144:$BP$158,MATCH($CW155,$L$144:$L$158,0),MATCH(DL$145,$BC$145:$BP$145,0))/INDEX(고양시_재차인원!$K$4:$O$20,MATCH("경기도",고양시_재차인원!$K$4:$K$20,0),MATCH(DL$145,고양시_재차인원!$K$4:$O$4,0))</f>
        <v>1.965418289519969E-6</v>
      </c>
      <c r="DM155" s="267">
        <f>INDEX($BC$144:$BP$158,MATCH($CW155,$L$144:$L$158,0),MATCH(DM$145,$BC$145:$BP$145,0))/INDEX(고양시_재차인원!$D$4:$H$35,MATCH("고양시",고양시_재차인원!$B$4:$B$35,0),MATCH($DJ$144,고양시_재차인원!$D$4:$H$4,0))</f>
        <v>4.5198070650905966E-5</v>
      </c>
      <c r="DN155" s="267">
        <f>INDEX($BQ$144:$CD$158,MATCH($CW155,$L$144:$L$158,0),MATCH(DN$145,$BQ$145:$CD$145,0))/INDEX(고양시_재차인원!$D$4:$H$35,MATCH("고양시",고양시_재차인원!$B$4:$B$35,0),MATCH($DN$144,고양시_재차인원!$D$4:$H$4,0))</f>
        <v>2.8700714153675022E-3</v>
      </c>
      <c r="DO155" s="267">
        <f>INDEX($BQ$144:$CD$158,MATCH($CW155,$L$144:$L$158,0),MATCH(DO$145,$BQ$145:$CD$145,0))/INDEX(고양시_재차인원!$K$4:$O$20,MATCH("경기도",고양시_재차인원!$K$4:$K$20,0),MATCH(DO$145,고양시_재차인원!$K$4:$O$4,0))</f>
        <v>2.6708322079807709E-8</v>
      </c>
      <c r="DP155" s="267">
        <f>INDEX($BQ$144:$CD$158,MATCH($CW155,$L$144:$L$158,0),MATCH(DP$145,$BQ$145:$CD$145,0))/INDEX(고양시_재차인원!$K$4:$O$20,MATCH("경기도",고양시_재차인원!$K$4:$K$20,0),MATCH(DP$145,고양시_재차인원!$K$4:$O$4,0))</f>
        <v>7.4249135381865425E-6</v>
      </c>
      <c r="DQ155" s="267">
        <f>INDEX($BQ$144:$CD$158,MATCH($CW155,$L$144:$L$158,0),MATCH(DQ$145,$BQ$145:$CD$145,0))/INDEX(고양시_재차인원!$D$4:$H$35,MATCH("고양시",고양시_재차인원!$B$4:$B$35,0),MATCH($DN$144,고양시_재차인원!$D$4:$H$4,0))</f>
        <v>1.842997166576623E-4</v>
      </c>
      <c r="DR155" s="270">
        <f t="shared" si="86"/>
        <v>9.3126355314511891</v>
      </c>
      <c r="DS155" s="270">
        <f t="shared" si="77"/>
        <v>9.3788629599898763E-5</v>
      </c>
      <c r="DT155" s="270">
        <f t="shared" si="78"/>
        <v>2.6073239028771851E-2</v>
      </c>
      <c r="DU155" s="270">
        <f t="shared" si="79"/>
        <v>0.59800466308702105</v>
      </c>
      <c r="DW155" s="278"/>
      <c r="DX155" s="278" t="s">
        <v>304</v>
      </c>
      <c r="DY155" s="281">
        <f t="shared" si="87"/>
        <v>9.9106401945382103</v>
      </c>
      <c r="DZ155" s="281">
        <f t="shared" si="88"/>
        <v>2.6167027658371748E-2</v>
      </c>
      <c r="EB155" s="278"/>
      <c r="EC155" s="278" t="s">
        <v>304</v>
      </c>
      <c r="ED155" s="281">
        <f t="shared" si="89"/>
        <v>9.9106401945382103</v>
      </c>
      <c r="EE155" s="281">
        <f t="shared" si="80"/>
        <v>2.6167027658371748E-2</v>
      </c>
      <c r="EL155" s="306" t="s">
        <v>667</v>
      </c>
      <c r="EM155" s="306" t="s">
        <v>220</v>
      </c>
      <c r="EN155" s="306">
        <v>51875.97</v>
      </c>
      <c r="EO155" s="306">
        <v>0.27933686355182291</v>
      </c>
      <c r="EP155" s="307">
        <v>849110</v>
      </c>
      <c r="EQ155" s="308">
        <f t="shared" si="90"/>
        <v>1147.6530702610717</v>
      </c>
      <c r="ER155" s="308">
        <f t="shared" si="91"/>
        <v>3.0301442734533666</v>
      </c>
      <c r="ET155" s="420" t="s">
        <v>667</v>
      </c>
      <c r="EU155" s="420" t="s">
        <v>220</v>
      </c>
      <c r="EV155" s="420">
        <v>51875.97</v>
      </c>
      <c r="EW155" s="420">
        <v>0.27933686355182291</v>
      </c>
      <c r="EX155" s="421">
        <v>849110</v>
      </c>
      <c r="EY155" s="422">
        <f t="shared" si="92"/>
        <v>1114.9449577586311</v>
      </c>
      <c r="EZ155" s="422">
        <f t="shared" si="81"/>
        <v>2.9437851616599455</v>
      </c>
      <c r="FA155">
        <v>0</v>
      </c>
      <c r="FD155" s="306" t="s">
        <v>667</v>
      </c>
      <c r="FE155" s="306" t="s">
        <v>220</v>
      </c>
      <c r="FF155" s="306">
        <v>51875.97</v>
      </c>
      <c r="FG155" s="306">
        <v>0.27933686355182291</v>
      </c>
      <c r="FH155" s="307">
        <v>849110</v>
      </c>
      <c r="FI155" s="308">
        <f t="shared" si="82"/>
        <v>1114.9449577586311</v>
      </c>
      <c r="FJ155" s="308">
        <f t="shared" si="83"/>
        <v>2.9437851616599455</v>
      </c>
      <c r="FL155" s="101"/>
      <c r="FM155" s="101"/>
      <c r="FN155" s="101"/>
      <c r="FO155" s="101"/>
      <c r="FP155" s="374"/>
      <c r="FQ155" s="404"/>
      <c r="FR155" s="404"/>
    </row>
    <row r="156" spans="1:174" ht="25">
      <c r="A156" s="205"/>
      <c r="B156" s="205" t="s">
        <v>305</v>
      </c>
      <c r="C156" s="400">
        <f>$AB71*KTDB_TripDistribution_2045!T$12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9.6373504187366379</v>
      </c>
      <c r="D156" s="400">
        <f>$AB71*KTDB_TripDistribution_2045!U$12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69.747476605950183</v>
      </c>
      <c r="E156" s="400">
        <f>$AB71*KTDB_TripDistribution_2045!V$12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4.0012400933815169</v>
      </c>
      <c r="F156" s="400">
        <f>$AB71*KTDB_TripDistribution_2045!W$12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6.287962430667665E-3</v>
      </c>
      <c r="G156" s="400">
        <f>$AB71*KTDB_TripDistribution_2045!X$12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2.3754524738077827E-2</v>
      </c>
      <c r="H156" s="400">
        <f>$AB71*KTDB_TripDistribution_2045!Y$12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83.416109605237097</v>
      </c>
      <c r="I156" s="56"/>
      <c r="J156" s="56"/>
      <c r="K156" s="206"/>
      <c r="L156" s="206" t="s">
        <v>305</v>
      </c>
      <c r="M156" s="206">
        <f>INDEX($A$145:$H$158,MATCH($L156,$B$145:$B$158,0),MATCH($M$144,$A$145:$H$145,0))*고양시_Modal_split!C$3 * 0.01</f>
        <v>2.6984581172462586E-2</v>
      </c>
      <c r="N156" s="206">
        <f>INDEX($A$145:$H$158,MATCH($L156,$B$145:$B$158,0),MATCH($M$144,$A$145:$H$145,0))*고양시_Modal_split!D$3 * 0.01</f>
        <v>4.5324459019318413</v>
      </c>
      <c r="O156" s="206">
        <f>INDEX($A$145:$H$158,MATCH($L156,$B$145:$B$158,0),MATCH($M$144,$A$145:$H$145,0))*고양시_Modal_split!E$3 * 0.01</f>
        <v>0.54836523882611465</v>
      </c>
      <c r="P156" s="206">
        <f>INDEX($A$145:$H$158,MATCH($L156,$B$145:$B$158,0),MATCH($M$144,$A$145:$H$145,0))*고양시_Modal_split!F$3 * 0.01</f>
        <v>0.88374503339814969</v>
      </c>
      <c r="Q156" s="206">
        <f>INDEX($A$145:$H$158,MATCH($L156,$B$145:$B$158,0),MATCH($M$144,$A$145:$H$145,0))*고양시_Modal_split!G$3 * 0.01</f>
        <v>8.8663623852377055E-2</v>
      </c>
      <c r="R156" s="206">
        <f>INDEX($A$145:$H$158,MATCH($L156,$B$145:$B$158,0),MATCH($M$144,$A$145:$H$145,0))*고양시_Modal_split!H$3 * 0.01</f>
        <v>9.6373504187366389E-4</v>
      </c>
      <c r="S156" s="206">
        <f>INDEX($A$145:$H$158,MATCH($L156,$B$145:$B$158,0),MATCH($M$144,$A$145:$H$145,0))*고양시_Modal_split!I$3 * 0.01</f>
        <v>0.26791834164087852</v>
      </c>
      <c r="T156" s="206">
        <f>INDEX($A$145:$H$158,MATCH($L156,$B$145:$B$158,0),MATCH($M$144,$A$145:$H$145,0))*고양시_Modal_split!J$3 * 0.01</f>
        <v>2.9336094674634325</v>
      </c>
      <c r="U156" s="206">
        <f>INDEX($A$145:$H$158,MATCH($L156,$B$145:$B$158,0),MATCH($M$144,$A$145:$H$145,0))*고양시_Modal_split!K$3 * 0.01</f>
        <v>1.4456025628104956E-2</v>
      </c>
      <c r="V156" s="206">
        <f>INDEX($A$145:$H$158,MATCH($L156,$B$145:$B$158,0),MATCH($M$144,$A$145:$H$145,0))*고양시_Modal_split!L$3 * 0.01</f>
        <v>0.29104798264584647</v>
      </c>
      <c r="W156" s="206">
        <f>INDEX($A$145:$H$158,MATCH($L156,$B$145:$B$158,0),MATCH($M$144,$A$145:$H$145,0))*고양시_Modal_split!M$3 * 0.01</f>
        <v>2.2165905963094264E-2</v>
      </c>
      <c r="X156" s="206">
        <f>INDEX($A$145:$H$158,MATCH($L156,$B$145:$B$158,0),MATCH($M$144,$A$145:$H$145,0))*고양시_Modal_split!N$3 * 0.01</f>
        <v>9.6373504187366385E-3</v>
      </c>
      <c r="Y156" s="206">
        <f>INDEX($A$145:$H$158,MATCH($L156,$B$145:$B$158,0),MATCH($M$144,$A$145:$H$145,0))*고양시_Modal_split!O$3 * 0.01</f>
        <v>1.7347230753725948E-2</v>
      </c>
      <c r="Z156" s="209">
        <f>INDEX($A$145:$H$158,MATCH($L156,$B$145:$B$158,0),MATCH($M$144,$A$145:$H$145,0))*고양시_Modal_split!P$3 * 0.01</f>
        <v>9.6373504187366379</v>
      </c>
      <c r="AA156" s="207">
        <f>INDEX($A$145:$H$158,MATCH($L156,$B$145:$B$158,0),MATCH($AA$144,$A$145:$H$145,0))*고양시_Modal_split!C$3 * 0.01</f>
        <v>0.19529293449666049</v>
      </c>
      <c r="AB156" s="207">
        <f>INDEX($A$145:$H$158,MATCH($L156,$B$145:$B$158,0),MATCH($AA$144,$A$145:$H$145,0))*고양시_Modal_split!D$3 * 0.01</f>
        <v>32.802238247778376</v>
      </c>
      <c r="AC156" s="207">
        <f>INDEX($A$145:$H$158,MATCH($L156,$B$145:$B$158,0),MATCH($AA$144,$A$145:$H$145,0))*고양시_Modal_split!E$3 * 0.01</f>
        <v>3.968631418878565</v>
      </c>
      <c r="AD156" s="207">
        <f>INDEX($A$145:$H$158,MATCH($L156,$B$145:$B$158,0),MATCH($AA$144,$A$145:$H$145,0))*고양시_Modal_split!F$3 * 0.01</f>
        <v>6.3958436047656315</v>
      </c>
      <c r="AE156" s="207">
        <f>INDEX($A$145:$H$158,MATCH($L156,$B$145:$B$158,0),MATCH($AA$144,$A$145:$H$145,0))*고양시_Modal_split!G$3 * 0.01</f>
        <v>0.64167678477474166</v>
      </c>
      <c r="AF156" s="207">
        <f>INDEX($A$145:$H$158,MATCH($L156,$B$145:$B$158,0),MATCH($AA$144,$A$145:$H$145,0))*고양시_Modal_split!H$3 * 0.01</f>
        <v>6.9747476605950187E-3</v>
      </c>
      <c r="AG156" s="207">
        <f>INDEX($A$145:$H$158,MATCH($L156,$B$145:$B$158,0),MATCH($AA$144,$A$145:$H$145,0))*고양시_Modal_split!I$3 * 0.01</f>
        <v>1.9389798496454151</v>
      </c>
      <c r="AH156" s="207">
        <f>INDEX($A$145:$H$158,MATCH($L156,$B$145:$B$158,0),MATCH($AA$144,$A$145:$H$145,0))*고양시_Modal_split!J$3 * 0.01</f>
        <v>21.23113187885124</v>
      </c>
      <c r="AI156" s="207">
        <f>INDEX($A$145:$H$158,MATCH($L156,$B$145:$B$158,0),MATCH($AA$144,$A$145:$H$145,0))*고양시_Modal_split!K$3 * 0.01</f>
        <v>0.10462121490892527</v>
      </c>
      <c r="AJ156" s="207">
        <f>INDEX($A$145:$H$158,MATCH($L156,$B$145:$B$158,0),MATCH($AA$144,$A$145:$H$145,0))*고양시_Modal_split!L$3 * 0.01</f>
        <v>2.1063737934996958</v>
      </c>
      <c r="AK156" s="207">
        <f>INDEX($A$145:$H$158,MATCH($L156,$B$145:$B$158,0),MATCH($AA$144,$A$145:$H$145,0))*고양시_Modal_split!M$3 * 0.01</f>
        <v>0.16041919619368541</v>
      </c>
      <c r="AL156" s="207">
        <f>INDEX($A$145:$H$158,MATCH($L156,$B$145:$B$158,0),MATCH($AA$144,$A$145:$H$145,0))*고양시_Modal_split!N$3 * 0.01</f>
        <v>6.9747476605950182E-2</v>
      </c>
      <c r="AM156" s="207">
        <f>INDEX($A$145:$H$158,MATCH($L156,$B$145:$B$158,0),MATCH($AA$144,$A$145:$H$145,0))*고양시_Modal_split!O$3 * 0.01</f>
        <v>0.12554545789071031</v>
      </c>
      <c r="AN156" s="207">
        <f>INDEX($A$145:$H$158,MATCH($L156,$B$145:$B$158,0),MATCH($AA$144,$A$145:$H$145,0))*고양시_Modal_split!P$3 * 0.01</f>
        <v>69.747476605950183</v>
      </c>
      <c r="AO156" s="303">
        <f>INDEX($A$145:$H$158,MATCH($L156,$B$145:$B$158,0),MATCH($AO$144,$A$145:$H$145,0))*고양시_Modal_split!C$3 * 0.01</f>
        <v>1.1203472261468245E-2</v>
      </c>
      <c r="AP156" s="303">
        <f>INDEX($A$145:$H$158,MATCH($L156,$B$145:$B$158,0),MATCH($AO$144,$A$145:$H$145,0))*고양시_Modal_split!D$3 * 0.01</f>
        <v>1.8817832159173276</v>
      </c>
      <c r="AQ156" s="303">
        <f>INDEX($A$145:$H$158,MATCH($L156,$B$145:$B$158,0),MATCH($AO$144,$A$145:$H$145,0))*고양시_Modal_split!E$3 * 0.01</f>
        <v>0.22767056131340829</v>
      </c>
      <c r="AR156" s="303">
        <f>INDEX($A$145:$H$158,MATCH($L156,$B$145:$B$158,0),MATCH($AO$144,$A$145:$H$145,0))*고양시_Modal_split!F$3 * 0.01</f>
        <v>0.36691371656308513</v>
      </c>
      <c r="AS156" s="303">
        <f>INDEX($A$145:$H$158,MATCH($L156,$B$145:$B$158,0),MATCH($AO$144,$A$145:$H$145,0))*고양시_Modal_split!G$3 * 0.01</f>
        <v>3.6811408859109954E-2</v>
      </c>
      <c r="AT156" s="303">
        <f>INDEX($A$145:$H$158,MATCH($L156,$B$145:$B$158,0),MATCH($AO$144,$A$145:$H$145,0))*고양시_Modal_split!H$3 * 0.01</f>
        <v>4.0012400933815169E-4</v>
      </c>
      <c r="AU156" s="303">
        <f>INDEX($A$145:$H$158,MATCH($L156,$B$145:$B$158,0),MATCH($AO$144,$A$145:$H$145,0))*고양시_Modal_split!I$3 * 0.01</f>
        <v>0.11123447459600616</v>
      </c>
      <c r="AV156" s="303">
        <f>INDEX($A$145:$H$158,MATCH($L156,$B$145:$B$158,0),MATCH($AO$144,$A$145:$H$145,0))*고양시_Modal_split!J$3 * 0.01</f>
        <v>1.2179774844253337</v>
      </c>
      <c r="AW156" s="303">
        <f>INDEX($A$145:$H$158,MATCH($L156,$B$145:$B$158,0),MATCH($AO$144,$A$145:$H$145,0))*고양시_Modal_split!K$3 * 0.01</f>
        <v>6.0018601400722753E-3</v>
      </c>
      <c r="AX156" s="303">
        <f>INDEX($A$145:$H$158,MATCH($L156,$B$145:$B$158,0),MATCH($AO$144,$A$145:$H$145,0))*고양시_Modal_split!L$3 * 0.01</f>
        <v>0.1208374508201218</v>
      </c>
      <c r="AY156" s="303">
        <f>INDEX($A$145:$H$158,MATCH($L156,$B$145:$B$158,0),MATCH($AO$144,$A$145:$H$145,0))*고양시_Modal_split!M$3 * 0.01</f>
        <v>9.2028522147774884E-3</v>
      </c>
      <c r="AZ156" s="303">
        <f>INDEX($A$145:$H$158,MATCH($L156,$B$145:$B$158,0),MATCH($AO$144,$A$145:$H$145,0))*고양시_Modal_split!N$3 * 0.01</f>
        <v>4.0012400933815175E-3</v>
      </c>
      <c r="BA156" s="207">
        <f>INDEX($A$145:$H$158,MATCH($L156,$B$145:$B$158,0),MATCH($AO$144,$A$145:$H$145,0))*고양시_Modal_split!O$3 * 0.01</f>
        <v>7.2022321680867297E-3</v>
      </c>
      <c r="BB156" s="207">
        <f>INDEX($A$145:$H$158,MATCH($L156,$B$145:$B$158,0),MATCH($AO$144,$A$145:$H$145,0))*고양시_Modal_split!P$3 * 0.01</f>
        <v>4.0012400933815169</v>
      </c>
      <c r="BC156" s="207">
        <f>INDEX($A$145:$H$158,MATCH($L156,$B$145:$B$158,0),MATCH($BC$144,$A$145:$H$145,0))*고양시_Modal_split!C$3 * 0.01</f>
        <v>1.7606294805869462E-5</v>
      </c>
      <c r="BD156" s="207">
        <f>INDEX($A$145:$H$158,MATCH($L156,$B$145:$B$158,0),MATCH($BC$144,$A$145:$H$145,0))*고양시_Modal_split!D$3 * 0.01</f>
        <v>2.957228731143003E-3</v>
      </c>
      <c r="BE156" s="207">
        <f>INDEX($A$145:$H$158,MATCH($L156,$B$145:$B$158,0),MATCH($BC$144,$A$145:$H$145,0))*고양시_Modal_split!E$3 * 0.01</f>
        <v>3.5778506230499011E-4</v>
      </c>
      <c r="BF156" s="207">
        <f>INDEX($A$145:$H$158,MATCH($L156,$B$145:$B$158,0),MATCH($BC$144,$A$145:$H$145,0))*고양시_Modal_split!F$3 * 0.01</f>
        <v>5.7660615489222493E-4</v>
      </c>
      <c r="BG156" s="207">
        <f>INDEX($A$145:$H$158,MATCH($L156,$B$145:$B$158,0),MATCH($BC$144,$A$145:$H$145,0))*고양시_Modal_split!G$3 * 0.01</f>
        <v>5.7849254362142515E-5</v>
      </c>
      <c r="BH156" s="207">
        <f>INDEX($A$145:$H$158,MATCH($L156,$B$145:$B$158,0),MATCH($BC$144,$A$145:$H$145,0))*고양시_Modal_split!H$3 * 0.01</f>
        <v>6.2879624306676647E-7</v>
      </c>
      <c r="BI156" s="207">
        <f>INDEX($A$145:$H$158,MATCH($L156,$B$145:$B$158,0),MATCH($BC$144,$A$145:$H$145,0))*고양시_Modal_split!I$3 * 0.01</f>
        <v>1.7480535557256108E-4</v>
      </c>
      <c r="BJ156" s="207">
        <f>INDEX($A$145:$H$158,MATCH($L156,$B$145:$B$158,0),MATCH($BC$144,$A$145:$H$145,0))*고양시_Modal_split!J$3 * 0.01</f>
        <v>1.9140557638952374E-3</v>
      </c>
      <c r="BK156" s="207">
        <f>INDEX($A$145:$H$158,MATCH($L156,$B$145:$B$158,0),MATCH($BC$144,$A$145:$H$145,0))*고양시_Modal_split!K$3 * 0.01</f>
        <v>9.431943646001498E-6</v>
      </c>
      <c r="BL156" s="207">
        <f>INDEX($A$145:$H$158,MATCH($L156,$B$145:$B$158,0),MATCH($BC$144,$A$145:$H$145,0))*고양시_Modal_split!L$3 * 0.01</f>
        <v>1.898964654061635E-4</v>
      </c>
      <c r="BM156" s="207">
        <f>INDEX($A$145:$H$158,MATCH($L156,$B$145:$B$158,0),MATCH($BC$144,$A$145:$H$145,0))*고양시_Modal_split!M$3 * 0.01</f>
        <v>1.4462313590535629E-5</v>
      </c>
      <c r="BN156" s="207">
        <f>INDEX($A$145:$H$158,MATCH($L156,$B$145:$B$158,0),MATCH($BC$144,$A$145:$H$145,0))*고양시_Modal_split!N$3 * 0.01</f>
        <v>6.2879624306676653E-6</v>
      </c>
      <c r="BO156" s="207">
        <f>INDEX($A$145:$H$158,MATCH($L156,$B$145:$B$158,0),MATCH($BC$144,$A$145:$H$145,0))*고양시_Modal_split!O$3 * 0.01</f>
        <v>1.1318332375201796E-5</v>
      </c>
      <c r="BP156" s="207">
        <f>INDEX($A$145:$H$158,MATCH($L156,$B$145:$B$158,0),MATCH($BC$144,$A$145:$H$145,0))*고양시_Modal_split!P$3 * 0.01</f>
        <v>6.287962430667665E-3</v>
      </c>
      <c r="BQ156" s="207">
        <f>INDEX($A$145:$H$158,MATCH($L156,$B$145:$B$158,0),MATCH($BQ$144,$A$145:$H$145,0))*고양시_Modal_split!C$3 * 0.01</f>
        <v>6.6512669266617918E-5</v>
      </c>
      <c r="BR156" s="207">
        <f>INDEX($A$145:$H$158,MATCH($L156,$B$145:$B$158,0),MATCH($BQ$144,$A$145:$H$145,0))*고양시_Modal_split!D$3 * 0.01</f>
        <v>1.1171752984318002E-2</v>
      </c>
      <c r="BS156" s="207">
        <f>INDEX($A$145:$H$158,MATCH($L156,$B$145:$B$158,0),MATCH($BQ$144,$A$145:$H$145,0))*고양시_Modal_split!E$3 * 0.01</f>
        <v>1.3516324575966283E-3</v>
      </c>
      <c r="BT156" s="207">
        <f>INDEX($A$145:$H$158,MATCH($L156,$B$145:$B$158,0),MATCH($BQ$144,$A$145:$H$145,0))*고양시_Modal_split!F$3 * 0.01</f>
        <v>2.1782899184817368E-3</v>
      </c>
      <c r="BU156" s="207">
        <f>INDEX($A$145:$H$158,MATCH($L156,$B$145:$B$158,0),MATCH($BQ$144,$A$145:$H$145,0))*고양시_Modal_split!G$3 * 0.01</f>
        <v>2.1854162759031597E-4</v>
      </c>
      <c r="BV156" s="207">
        <f>INDEX($A$145:$H$158,MATCH($L156,$B$145:$B$158,0),MATCH($BQ$144,$A$145:$H$145,0))*고양시_Modal_split!H$3 * 0.01</f>
        <v>2.375452473807783E-6</v>
      </c>
      <c r="BW156" s="207">
        <f>INDEX($A$145:$H$158,MATCH($L156,$B$145:$B$158,0),MATCH($BQ$144,$A$145:$H$145,0))*고양시_Modal_split!I$3 * 0.01</f>
        <v>6.603757877185636E-4</v>
      </c>
      <c r="BX156" s="207">
        <f>INDEX($A$145:$H$158,MATCH($L156,$B$145:$B$158,0),MATCH($BQ$144,$A$145:$H$145,0))*고양시_Modal_split!J$3 * 0.01</f>
        <v>7.2308773302708906E-3</v>
      </c>
      <c r="BY156" s="207">
        <f>INDEX($A$145:$H$158,MATCH($L156,$B$145:$B$158,0),MATCH($BQ$144,$A$145:$H$145,0))*고양시_Modal_split!K$3 * 0.01</f>
        <v>3.563178710711674E-5</v>
      </c>
      <c r="BZ156" s="207">
        <f>INDEX($A$145:$H$158,MATCH($L156,$B$145:$B$158,0),MATCH($BQ$144,$A$145:$H$145,0))*고양시_Modal_split!L$3 * 0.01</f>
        <v>7.1738664708995039E-4</v>
      </c>
      <c r="CA156" s="207">
        <f>INDEX($A$145:$H$158,MATCH($L156,$B$145:$B$158,0),MATCH($BQ$144,$A$145:$H$145,0))*고양시_Modal_split!M$3 * 0.01</f>
        <v>5.4635406897578993E-5</v>
      </c>
      <c r="CB156" s="207">
        <f>INDEX($A$145:$H$158,MATCH($L156,$B$145:$B$158,0),MATCH($BQ$144,$A$145:$H$145,0))*고양시_Modal_split!N$3 * 0.01</f>
        <v>2.3754524738077832E-5</v>
      </c>
      <c r="CC156" s="207">
        <f>INDEX($A$145:$H$158,MATCH($L156,$B$145:$B$158,0),MATCH($BQ$144,$A$145:$H$145,0))*고양시_Modal_split!O$3 * 0.01</f>
        <v>4.2758144528540089E-5</v>
      </c>
      <c r="CD156" s="207">
        <f>INDEX($A$145:$H$158,MATCH($L156,$B$145:$B$158,0),MATCH($BQ$144,$A$145:$H$145,0))*고양시_Modal_split!P$3 * 0.01</f>
        <v>2.3754524738077831E-2</v>
      </c>
      <c r="CE156" s="304">
        <f t="shared" si="84"/>
        <v>0.23356510689466381</v>
      </c>
      <c r="CF156" s="304">
        <f t="shared" si="64"/>
        <v>39.23059634734301</v>
      </c>
      <c r="CG156" s="304">
        <f t="shared" si="65"/>
        <v>4.74637663653799</v>
      </c>
      <c r="CH156" s="304">
        <f t="shared" si="66"/>
        <v>7.6492572508002405</v>
      </c>
      <c r="CI156" s="304">
        <f t="shared" si="67"/>
        <v>0.76742820836818104</v>
      </c>
      <c r="CJ156" s="304">
        <f t="shared" si="68"/>
        <v>8.3416109605237085E-3</v>
      </c>
      <c r="CK156" s="304">
        <f t="shared" si="69"/>
        <v>2.3189678470255908</v>
      </c>
      <c r="CL156" s="304">
        <f t="shared" si="70"/>
        <v>25.391863763834174</v>
      </c>
      <c r="CM156" s="304">
        <f t="shared" si="71"/>
        <v>0.12512416440785562</v>
      </c>
      <c r="CN156" s="304">
        <f t="shared" si="72"/>
        <v>2.5191665100781599</v>
      </c>
      <c r="CO156" s="304">
        <f t="shared" si="73"/>
        <v>0.19185705209204526</v>
      </c>
      <c r="CP156" s="304">
        <f t="shared" si="74"/>
        <v>8.3416109605237085E-2</v>
      </c>
      <c r="CQ156" s="304">
        <f t="shared" si="75"/>
        <v>0.15014899728942674</v>
      </c>
      <c r="CR156" s="304">
        <f t="shared" si="76"/>
        <v>83.416109605237068</v>
      </c>
      <c r="CS156" s="305">
        <f t="shared" si="85"/>
        <v>0</v>
      </c>
      <c r="CV156" s="267"/>
      <c r="CW156" s="267" t="s">
        <v>305</v>
      </c>
      <c r="CX156" s="267">
        <f>INDEX($M$144:$Z$158,MATCH($CW156,$L$144:$L$158,0),MATCH(CX$145,$M$145:$Z$145,0))/INDEX(고양시_재차인원!$D$4:$H$35,MATCH("고양시",고양시_재차인원!$B$4:$B$35,0),MATCH($CX$144,고양시_재차인원!$D$4:$H$4,0))</f>
        <v>4.0468266981534295</v>
      </c>
      <c r="CY156" s="267">
        <f>INDEX($M$144:$Z$158,MATCH($CW156,$L$144:$L$158,0),MATCH(CY$145,$M$145:$Z$145,0))/INDEX(고양시_재차인원!$K$4:$O$20,MATCH("경기도",고양시_재차인원!$K$4:$K$20,0),MATCH(CY$145,고양시_재차인원!$K$4:$O$4,0))</f>
        <v>3.3474645428053625E-5</v>
      </c>
      <c r="CZ156" s="267">
        <f>INDEX($M$144:$Z$158,MATCH($CW156,$L$144:$L$158,0),MATCH(CZ$145,$M$145:$Z$145,0))/INDEX(고양시_재차인원!$K$4:$O$20,MATCH("경기도",고양시_재차인원!$K$4:$K$20,0),MATCH(CZ$145,고양시_재차인원!$K$4:$O$4,0))</f>
        <v>9.3059514289989074E-3</v>
      </c>
      <c r="DA156" s="267">
        <f>INDEX($M$144:$Z$158,MATCH($CW156,$L$144:$L$158,0),MATCH(DA$145,$M$145:$Z$145,0))/INDEX(고양시_재차인원!$D$4:$H$35,MATCH("고양시",고양시_재차인원!$B$4:$B$35,0),MATCH($CX$144,고양시_재차인원!$D$4:$H$4,0))</f>
        <v>0.25986427021950576</v>
      </c>
      <c r="DB156" s="267">
        <f>INDEX($AA$144:$AN$158,MATCH($CW156,$L$144:$L$158,0),MATCH(DB$145,$AA$145:$AN$145,0))/INDEX(고양시_재차인원!$D$4:$H$35,MATCH("고양시",고양시_재차인원!$B$4:$B$35,0),MATCH($DB$144,고양시_재차인원!$D$4:$H$4,0))</f>
        <v>23.263998757289631</v>
      </c>
      <c r="DC156" s="267">
        <f>INDEX($AA$144:$AN$158,MATCH($CW156,$L$144:$L$158,0),MATCH(DC$145,$AA$145:$AN$145,0))/INDEX(고양시_재차인원!$K$4:$O$20,MATCH("경기도",고양시_재차인원!$K$4:$K$20,0),MATCH(DC$145,고양시_재차인원!$K$4:$O$4,0))</f>
        <v>2.422628572627655E-4</v>
      </c>
      <c r="DD156" s="267">
        <f>INDEX($AA$144:$AN$158,MATCH($CW156,$L$144:$L$158,0),MATCH(DD$145,$AA$145:$AN$145,0))/INDEX(고양시_재차인원!$K$4:$O$20,MATCH("경기도",고양시_재차인원!$K$4:$K$20,0),MATCH(DD$145,고양시_재차인원!$K$4:$O$4,0))</f>
        <v>6.734907431904881E-2</v>
      </c>
      <c r="DE156" s="267">
        <f>INDEX($AA$144:$AN$158,MATCH($CW156,$L$144:$L$158,0),MATCH(DE$145,$AA$145:$AN$145,0))/INDEX(고양시_재차인원!$D$4:$H$35,MATCH("고양시",고양시_재차인원!$B$4:$B$35,0),MATCH($DB$144,고양시_재차인원!$D$4:$H$4,0))</f>
        <v>1.4938821230494297</v>
      </c>
      <c r="DF156" s="267">
        <f>INDEX($AO$144:$BB$158,MATCH($CW156,$L$144:$L$158,0),MATCH(DF$145,$AO$145:$BB$145,0))/INDEX(고양시_재차인원!$D$4:$H$35,MATCH("고양시",고양시_재차인원!$B$4:$B$35,0),MATCH($DF$144,고양시_재차인원!$D$4:$H$4,0))</f>
        <v>1.4475255507056366</v>
      </c>
      <c r="DG156" s="267">
        <f>INDEX($AO$144:$BB$158,MATCH($CW156,$L$144:$L$158,0),MATCH(DG$145,$AO$145:$BB$145,0))/INDEX(고양시_재차인원!$K$4:$O$20,MATCH("경기도",고양시_재차인원!$K$4:$K$20,0),MATCH(DG$145,고양시_재차인원!$K$4:$O$4,0))</f>
        <v>1.3898020470237989E-5</v>
      </c>
      <c r="DH156" s="267">
        <f>INDEX($AO$144:$BB$158,MATCH($CW156,$L$144:$L$158,0),MATCH(DH$145,$AO$145:$BB$145,0))/INDEX(고양시_재차인원!$K$4:$O$20,MATCH("경기도",고양시_재차인원!$K$4:$K$20,0),MATCH(DH$145,고양시_재차인원!$K$4:$O$4,0))</f>
        <v>3.8636496907261605E-3</v>
      </c>
      <c r="DI156" s="267">
        <f>INDEX($AO$144:$BB$158,MATCH($CW156,$L$144:$L$158,0),MATCH(DI$145,$AO$145:$BB$145,0))/INDEX(고양시_재차인원!$D$4:$H$35,MATCH("고양시",고양시_재차인원!$B$4:$B$35,0),MATCH($DF$144,고양시_재차인원!$D$4:$H$4,0))</f>
        <v>9.2951885246247534E-2</v>
      </c>
      <c r="DJ156" s="267">
        <f>INDEX($BC$144:$BP$158,MATCH($CW156,$L$144:$L$158,0),MATCH(DJ$145,$BC$145:$BP$145,0))/INDEX(고양시_재차인원!$D$4:$H$35,MATCH("고양시",고양시_재차인원!$B$4:$B$35,0),MATCH($DJ$144,고양시_재차인원!$D$4:$H$4,0))</f>
        <v>2.1744328905463255E-3</v>
      </c>
      <c r="DK156" s="267">
        <f>INDEX($BC$144:$BP$158,MATCH($CW156,$L$144:$L$158,0),MATCH(DK$145,$BC$145:$BP$145,0))/INDEX(고양시_재차인원!$K$4:$O$20,MATCH("경기도",고양시_재차인원!$K$4:$K$20,0),MATCH(DK$145,고양시_재차인원!$K$4:$O$4,0))</f>
        <v>2.1840786490683101E-8</v>
      </c>
      <c r="DL156" s="267">
        <f>INDEX($BC$144:$BP$158,MATCH($CW156,$L$144:$L$158,0),MATCH(DL$145,$BC$145:$BP$145,0))/INDEX(고양시_재차인원!$K$4:$O$20,MATCH("경기도",고양시_재차인원!$K$4:$K$20,0),MATCH(DL$145,고양시_재차인원!$K$4:$O$4,0))</f>
        <v>6.0717386444099019E-6</v>
      </c>
      <c r="DM156" s="267">
        <f>INDEX($BC$144:$BP$158,MATCH($CW156,$L$144:$L$158,0),MATCH(DM$145,$BC$145:$BP$145,0))/INDEX(고양시_재차인원!$D$4:$H$35,MATCH("고양시",고양시_재차인원!$B$4:$B$35,0),MATCH($DJ$144,고양시_재차인원!$D$4:$H$4,0))</f>
        <v>1.3962975397512021E-4</v>
      </c>
      <c r="DN156" s="267">
        <f>INDEX($BQ$144:$CD$158,MATCH($CW156,$L$144:$L$158,0),MATCH(DN$145,$BQ$145:$CD$145,0))/INDEX(고양시_재차인원!$D$4:$H$35,MATCH("고양시",고양시_재차인원!$B$4:$B$35,0),MATCH($DN$144,고양시_재차인원!$D$4:$H$4,0))</f>
        <v>8.8664706224746044E-3</v>
      </c>
      <c r="DO156" s="267">
        <f>INDEX($BQ$144:$CD$158,MATCH($CW156,$L$144:$L$158,0),MATCH(DO$145,$BQ$145:$CD$145,0))/INDEX(고양시_재차인원!$K$4:$O$20,MATCH("경기도",고양시_재차인원!$K$4:$K$20,0),MATCH(DO$145,고양시_재차인원!$K$4:$O$4,0))</f>
        <v>8.2509637853691668E-8</v>
      </c>
      <c r="DP156" s="267">
        <f>INDEX($BQ$144:$CD$158,MATCH($CW156,$L$144:$L$158,0),MATCH(DP$145,$BQ$145:$CD$145,0))/INDEX(고양시_재차인원!$K$4:$O$20,MATCH("경기도",고양시_재차인원!$K$4:$K$20,0),MATCH(DP$145,고양시_재차인원!$K$4:$O$4,0))</f>
        <v>2.2937679323326281E-5</v>
      </c>
      <c r="DQ156" s="267">
        <f>INDEX($BQ$144:$CD$158,MATCH($CW156,$L$144:$L$158,0),MATCH(DQ$145,$BQ$145:$CD$145,0))/INDEX(고양시_재차인원!$D$4:$H$35,MATCH("고양시",고양시_재차인원!$B$4:$B$35,0),MATCH($DN$144,고양시_재차인원!$D$4:$H$4,0))</f>
        <v>5.6935448181742092E-4</v>
      </c>
      <c r="DR156" s="270">
        <f t="shared" si="86"/>
        <v>28.769391909661717</v>
      </c>
      <c r="DS156" s="270">
        <f t="shared" si="77"/>
        <v>2.8973987358540151E-4</v>
      </c>
      <c r="DT156" s="270">
        <f t="shared" si="78"/>
        <v>8.0547684856741616E-2</v>
      </c>
      <c r="DU156" s="270">
        <f t="shared" si="79"/>
        <v>1.8474072627509754</v>
      </c>
      <c r="DW156" s="278"/>
      <c r="DX156" s="278" t="s">
        <v>305</v>
      </c>
      <c r="DY156" s="281">
        <f t="shared" si="87"/>
        <v>30.616799172412694</v>
      </c>
      <c r="DZ156" s="281">
        <f t="shared" si="88"/>
        <v>8.0837424730327012E-2</v>
      </c>
      <c r="EB156" s="278"/>
      <c r="EC156" s="278" t="s">
        <v>305</v>
      </c>
      <c r="ED156" s="281">
        <f t="shared" si="89"/>
        <v>30.616799172412694</v>
      </c>
      <c r="EE156" s="281">
        <f t="shared" si="80"/>
        <v>8.0837424730327012E-2</v>
      </c>
      <c r="EL156" s="306" t="s">
        <v>667</v>
      </c>
      <c r="EM156" s="306" t="s">
        <v>221</v>
      </c>
      <c r="EN156" s="306">
        <v>22244.514299999999</v>
      </c>
      <c r="EO156" s="306">
        <v>0.11978017675227419</v>
      </c>
      <c r="EP156" s="307">
        <v>849111</v>
      </c>
      <c r="EQ156" s="308">
        <f t="shared" si="90"/>
        <v>492.11581263658906</v>
      </c>
      <c r="ER156" s="308">
        <f t="shared" si="91"/>
        <v>1.2993316100286225</v>
      </c>
      <c r="ET156" s="420" t="s">
        <v>667</v>
      </c>
      <c r="EU156" s="420" t="s">
        <v>221</v>
      </c>
      <c r="EV156" s="420">
        <v>22244.514299999999</v>
      </c>
      <c r="EW156" s="420">
        <v>0.11978017675227419</v>
      </c>
      <c r="EX156" s="421">
        <v>849111</v>
      </c>
      <c r="EY156" s="422">
        <f t="shared" si="92"/>
        <v>478.09051197644629</v>
      </c>
      <c r="EZ156" s="422">
        <f t="shared" si="81"/>
        <v>1.2623006591428068</v>
      </c>
      <c r="FA156">
        <v>0</v>
      </c>
      <c r="FD156" s="306" t="s">
        <v>667</v>
      </c>
      <c r="FE156" s="306" t="s">
        <v>221</v>
      </c>
      <c r="FF156" s="306">
        <v>22244.514299999999</v>
      </c>
      <c r="FG156" s="306">
        <v>0.11978017675227419</v>
      </c>
      <c r="FH156" s="307">
        <v>849111</v>
      </c>
      <c r="FI156" s="308">
        <f t="shared" si="82"/>
        <v>478.09051197644629</v>
      </c>
      <c r="FJ156" s="308">
        <f t="shared" si="83"/>
        <v>1.2623006591428068</v>
      </c>
      <c r="FL156" s="101"/>
      <c r="FM156" s="101"/>
      <c r="FN156" s="101"/>
      <c r="FO156" s="101"/>
      <c r="FP156" s="374"/>
      <c r="FQ156" s="404"/>
      <c r="FR156" s="404"/>
    </row>
    <row r="157" spans="1:174" ht="25">
      <c r="A157" s="205"/>
      <c r="B157" s="205" t="s">
        <v>47</v>
      </c>
      <c r="C157" s="400">
        <f>$AB72*KTDB_TripDistribution_2045!T$12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834.99563830314116</v>
      </c>
      <c r="D157" s="400">
        <f>$AB72*KTDB_TripDistribution_2045!U$12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6043.0342592288298</v>
      </c>
      <c r="E157" s="400">
        <f>$AB72*KTDB_TripDistribution_2045!V$12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346.67391768610145</v>
      </c>
      <c r="F157" s="400">
        <f>$AB72*KTDB_TripDistribution_2045!W$12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0.5447992420420672</v>
      </c>
      <c r="G157" s="400">
        <f>$AB72*KTDB_TripDistribution_2045!X$12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2.0581304699366969</v>
      </c>
      <c r="H157" s="400">
        <f>$AB72*KTDB_TripDistribution_2045!Y$12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7227.3067449300497</v>
      </c>
      <c r="I157" s="56"/>
      <c r="J157" s="56"/>
      <c r="K157" s="206"/>
      <c r="L157" s="206" t="s">
        <v>47</v>
      </c>
      <c r="M157" s="206">
        <f>INDEX($A$145:$H$158,MATCH($L157,$B$145:$B$158,0),MATCH($M$144,$A$145:$H$145,0))*고양시_Modal_split!C$3 * 0.01</f>
        <v>2.3379877872487951</v>
      </c>
      <c r="N157" s="206">
        <f>INDEX($A$145:$H$158,MATCH($L157,$B$145:$B$158,0),MATCH($M$144,$A$145:$H$145,0))*고양시_Modal_split!D$3 * 0.01</f>
        <v>392.69844869396729</v>
      </c>
      <c r="O157" s="206">
        <f>INDEX($A$145:$H$158,MATCH($L157,$B$145:$B$158,0),MATCH($M$144,$A$145:$H$145,0))*고양시_Modal_split!E$3 * 0.01</f>
        <v>47.511251819448724</v>
      </c>
      <c r="P157" s="206">
        <f>INDEX($A$145:$H$158,MATCH($L157,$B$145:$B$158,0),MATCH($M$144,$A$145:$H$145,0))*고양시_Modal_split!F$3 * 0.01</f>
        <v>76.569100032398055</v>
      </c>
      <c r="Q157" s="206">
        <f>INDEX($A$145:$H$158,MATCH($L157,$B$145:$B$158,0),MATCH($M$144,$A$145:$H$145,0))*고양시_Modal_split!G$3 * 0.01</f>
        <v>7.681959872388898</v>
      </c>
      <c r="R157" s="206">
        <f>INDEX($A$145:$H$158,MATCH($L157,$B$145:$B$158,0),MATCH($M$144,$A$145:$H$145,0))*고양시_Modal_split!H$3 * 0.01</f>
        <v>8.3499563830314122E-2</v>
      </c>
      <c r="S157" s="206">
        <f>INDEX($A$145:$H$158,MATCH($L157,$B$145:$B$158,0),MATCH($M$144,$A$145:$H$145,0))*고양시_Modal_split!I$3 * 0.01</f>
        <v>23.212878744827321</v>
      </c>
      <c r="T157" s="206">
        <f>INDEX($A$145:$H$158,MATCH($L157,$B$145:$B$158,0),MATCH($M$144,$A$145:$H$145,0))*고양시_Modal_split!J$3 * 0.01</f>
        <v>254.17267229947618</v>
      </c>
      <c r="U157" s="206">
        <f>INDEX($A$145:$H$158,MATCH($L157,$B$145:$B$158,0),MATCH($M$144,$A$145:$H$145,0))*고양시_Modal_split!K$3 * 0.01</f>
        <v>1.2524934574547117</v>
      </c>
      <c r="V157" s="206">
        <f>INDEX($A$145:$H$158,MATCH($L157,$B$145:$B$158,0),MATCH($M$144,$A$145:$H$145,0))*고양시_Modal_split!L$3 * 0.01</f>
        <v>25.216868276754862</v>
      </c>
      <c r="W157" s="206">
        <f>INDEX($A$145:$H$158,MATCH($L157,$B$145:$B$158,0),MATCH($M$144,$A$145:$H$145,0))*고양시_Modal_split!M$3 * 0.01</f>
        <v>1.9204899680972245</v>
      </c>
      <c r="X157" s="206">
        <f>INDEX($A$145:$H$158,MATCH($L157,$B$145:$B$158,0),MATCH($M$144,$A$145:$H$145,0))*고양시_Modal_split!N$3 * 0.01</f>
        <v>0.83499563830314116</v>
      </c>
      <c r="Y157" s="206">
        <f>INDEX($A$145:$H$158,MATCH($L157,$B$145:$B$158,0),MATCH($M$144,$A$145:$H$145,0))*고양시_Modal_split!O$3 * 0.01</f>
        <v>1.5029921489456541</v>
      </c>
      <c r="Z157" s="209">
        <f>INDEX($A$145:$H$158,MATCH($L157,$B$145:$B$158,0),MATCH($M$144,$A$145:$H$145,0))*고양시_Modal_split!P$3 * 0.01</f>
        <v>834.99563830314116</v>
      </c>
      <c r="AA157" s="207">
        <f>INDEX($A$145:$H$158,MATCH($L157,$B$145:$B$158,0),MATCH($AA$144,$A$145:$H$145,0))*고양시_Modal_split!C$3 * 0.01</f>
        <v>16.920495925840722</v>
      </c>
      <c r="AB157" s="207">
        <f>INDEX($A$145:$H$158,MATCH($L157,$B$145:$B$158,0),MATCH($AA$144,$A$145:$H$145,0))*고양시_Modal_split!D$3 * 0.01</f>
        <v>2842.0390121153191</v>
      </c>
      <c r="AC157" s="207">
        <f>INDEX($A$145:$H$158,MATCH($L157,$B$145:$B$158,0),MATCH($AA$144,$A$145:$H$145,0))*고양시_Modal_split!E$3 * 0.01</f>
        <v>343.84864935012041</v>
      </c>
      <c r="AD157" s="207">
        <f>INDEX($A$145:$H$158,MATCH($L157,$B$145:$B$158,0),MATCH($AA$144,$A$145:$H$145,0))*고양시_Modal_split!F$3 * 0.01</f>
        <v>554.14624157128367</v>
      </c>
      <c r="AE157" s="207">
        <f>INDEX($A$145:$H$158,MATCH($L157,$B$145:$B$158,0),MATCH($AA$144,$A$145:$H$145,0))*고양시_Modal_split!G$3 * 0.01</f>
        <v>55.595915184905238</v>
      </c>
      <c r="AF157" s="207">
        <f>INDEX($A$145:$H$158,MATCH($L157,$B$145:$B$158,0),MATCH($AA$144,$A$145:$H$145,0))*고양시_Modal_split!H$3 * 0.01</f>
        <v>0.604303425922883</v>
      </c>
      <c r="AG157" s="207">
        <f>INDEX($A$145:$H$158,MATCH($L157,$B$145:$B$158,0),MATCH($AA$144,$A$145:$H$145,0))*고양시_Modal_split!I$3 * 0.01</f>
        <v>167.99635240656147</v>
      </c>
      <c r="AH157" s="207">
        <f>INDEX($A$145:$H$158,MATCH($L157,$B$145:$B$158,0),MATCH($AA$144,$A$145:$H$145,0))*고양시_Modal_split!J$3 * 0.01</f>
        <v>1839.4996285092561</v>
      </c>
      <c r="AI157" s="207">
        <f>INDEX($A$145:$H$158,MATCH($L157,$B$145:$B$158,0),MATCH($AA$144,$A$145:$H$145,0))*고양시_Modal_split!K$3 * 0.01</f>
        <v>9.0645513888432454</v>
      </c>
      <c r="AJ157" s="207">
        <f>INDEX($A$145:$H$158,MATCH($L157,$B$145:$B$158,0),MATCH($AA$144,$A$145:$H$145,0))*고양시_Modal_split!L$3 * 0.01</f>
        <v>182.49963462871068</v>
      </c>
      <c r="AK157" s="207">
        <f>INDEX($A$145:$H$158,MATCH($L157,$B$145:$B$158,0),MATCH($AA$144,$A$145:$H$145,0))*고양시_Modal_split!M$3 * 0.01</f>
        <v>13.898978796226309</v>
      </c>
      <c r="AL157" s="207">
        <f>INDEX($A$145:$H$158,MATCH($L157,$B$145:$B$158,0),MATCH($AA$144,$A$145:$H$145,0))*고양시_Modal_split!N$3 * 0.01</f>
        <v>6.04303425922883</v>
      </c>
      <c r="AM157" s="207">
        <f>INDEX($A$145:$H$158,MATCH($L157,$B$145:$B$158,0),MATCH($AA$144,$A$145:$H$145,0))*고양시_Modal_split!O$3 * 0.01</f>
        <v>10.877461666611893</v>
      </c>
      <c r="AN157" s="207">
        <f>INDEX($A$145:$H$158,MATCH($L157,$B$145:$B$158,0),MATCH($AA$144,$A$145:$H$145,0))*고양시_Modal_split!P$3 * 0.01</f>
        <v>6043.0342592288298</v>
      </c>
      <c r="AO157" s="303">
        <f>INDEX($A$145:$H$158,MATCH($L157,$B$145:$B$158,0),MATCH($AO$144,$A$145:$H$145,0))*고양시_Modal_split!C$3 * 0.01</f>
        <v>0.97068696952108402</v>
      </c>
      <c r="AP157" s="303">
        <f>INDEX($A$145:$H$158,MATCH($L157,$B$145:$B$158,0),MATCH($AO$144,$A$145:$H$145,0))*고양시_Modal_split!D$3 * 0.01</f>
        <v>163.04074348777351</v>
      </c>
      <c r="AQ157" s="303">
        <f>INDEX($A$145:$H$158,MATCH($L157,$B$145:$B$158,0),MATCH($AO$144,$A$145:$H$145,0))*고양시_Modal_split!E$3 * 0.01</f>
        <v>19.725745916339172</v>
      </c>
      <c r="AR157" s="303">
        <f>INDEX($A$145:$H$158,MATCH($L157,$B$145:$B$158,0),MATCH($AO$144,$A$145:$H$145,0))*고양시_Modal_split!F$3 * 0.01</f>
        <v>31.789998251815501</v>
      </c>
      <c r="AS157" s="303">
        <f>INDEX($A$145:$H$158,MATCH($L157,$B$145:$B$158,0),MATCH($AO$144,$A$145:$H$145,0))*고양시_Modal_split!G$3 * 0.01</f>
        <v>3.189400042712133</v>
      </c>
      <c r="AT157" s="303">
        <f>INDEX($A$145:$H$158,MATCH($L157,$B$145:$B$158,0),MATCH($AO$144,$A$145:$H$145,0))*고양시_Modal_split!H$3 * 0.01</f>
        <v>3.4667391768610147E-2</v>
      </c>
      <c r="AU157" s="303">
        <f>INDEX($A$145:$H$158,MATCH($L157,$B$145:$B$158,0),MATCH($AO$144,$A$145:$H$145,0))*고양시_Modal_split!I$3 * 0.01</f>
        <v>9.6375349116736206</v>
      </c>
      <c r="AV157" s="303">
        <f>INDEX($A$145:$H$158,MATCH($L157,$B$145:$B$158,0),MATCH($AO$144,$A$145:$H$145,0))*고양시_Modal_split!J$3 * 0.01</f>
        <v>105.52754054364928</v>
      </c>
      <c r="AW157" s="303">
        <f>INDEX($A$145:$H$158,MATCH($L157,$B$145:$B$158,0),MATCH($AO$144,$A$145:$H$145,0))*고양시_Modal_split!K$3 * 0.01</f>
        <v>0.52001087652915223</v>
      </c>
      <c r="AX157" s="303">
        <f>INDEX($A$145:$H$158,MATCH($L157,$B$145:$B$158,0),MATCH($AO$144,$A$145:$H$145,0))*고양시_Modal_split!L$3 * 0.01</f>
        <v>10.469552314120264</v>
      </c>
      <c r="AY157" s="303">
        <f>INDEX($A$145:$H$158,MATCH($L157,$B$145:$B$158,0),MATCH($AO$144,$A$145:$H$145,0))*고양시_Modal_split!M$3 * 0.01</f>
        <v>0.79735001067803324</v>
      </c>
      <c r="AZ157" s="303">
        <f>INDEX($A$145:$H$158,MATCH($L157,$B$145:$B$158,0),MATCH($AO$144,$A$145:$H$145,0))*고양시_Modal_split!N$3 * 0.01</f>
        <v>0.34667391768610145</v>
      </c>
      <c r="BA157" s="207">
        <f>INDEX($A$145:$H$158,MATCH($L157,$B$145:$B$158,0),MATCH($AO$144,$A$145:$H$145,0))*고양시_Modal_split!O$3 * 0.01</f>
        <v>0.62401305183498257</v>
      </c>
      <c r="BB157" s="207">
        <f>INDEX($A$145:$H$158,MATCH($L157,$B$145:$B$158,0),MATCH($AO$144,$A$145:$H$145,0))*고양시_Modal_split!P$3 * 0.01</f>
        <v>346.67391768610145</v>
      </c>
      <c r="BC157" s="207">
        <f>INDEX($A$145:$H$158,MATCH($L157,$B$145:$B$158,0),MATCH($BC$144,$A$145:$H$145,0))*고양시_Modal_split!C$3 * 0.01</f>
        <v>1.5254378777177879E-3</v>
      </c>
      <c r="BD157" s="207">
        <f>INDEX($A$145:$H$158,MATCH($L157,$B$145:$B$158,0),MATCH($BC$144,$A$145:$H$145,0))*고양시_Modal_split!D$3 * 0.01</f>
        <v>0.25621908353238421</v>
      </c>
      <c r="BE157" s="207">
        <f>INDEX($A$145:$H$158,MATCH($L157,$B$145:$B$158,0),MATCH($BC$144,$A$145:$H$145,0))*고양시_Modal_split!E$3 * 0.01</f>
        <v>3.0999076872193623E-2</v>
      </c>
      <c r="BF157" s="207">
        <f>INDEX($A$145:$H$158,MATCH($L157,$B$145:$B$158,0),MATCH($BC$144,$A$145:$H$145,0))*고양시_Modal_split!F$3 * 0.01</f>
        <v>4.9958090495257568E-2</v>
      </c>
      <c r="BG157" s="207">
        <f>INDEX($A$145:$H$158,MATCH($L157,$B$145:$B$158,0),MATCH($BC$144,$A$145:$H$145,0))*고양시_Modal_split!G$3 * 0.01</f>
        <v>5.0121530267870171E-3</v>
      </c>
      <c r="BH157" s="207">
        <f>INDEX($A$145:$H$158,MATCH($L157,$B$145:$B$158,0),MATCH($BC$144,$A$145:$H$145,0))*고양시_Modal_split!H$3 * 0.01</f>
        <v>5.447992420420672E-5</v>
      </c>
      <c r="BI157" s="207">
        <f>INDEX($A$145:$H$158,MATCH($L157,$B$145:$B$158,0),MATCH($BC$144,$A$145:$H$145,0))*고양시_Modal_split!I$3 * 0.01</f>
        <v>1.5145418928769468E-2</v>
      </c>
      <c r="BJ157" s="207">
        <f>INDEX($A$145:$H$158,MATCH($L157,$B$145:$B$158,0),MATCH($BC$144,$A$145:$H$145,0))*고양시_Modal_split!J$3 * 0.01</f>
        <v>0.16583688927760526</v>
      </c>
      <c r="BK157" s="207">
        <f>INDEX($A$145:$H$158,MATCH($L157,$B$145:$B$158,0),MATCH($BC$144,$A$145:$H$145,0))*고양시_Modal_split!K$3 * 0.01</f>
        <v>8.171988630631008E-4</v>
      </c>
      <c r="BL157" s="207">
        <f>INDEX($A$145:$H$158,MATCH($L157,$B$145:$B$158,0),MATCH($BC$144,$A$145:$H$145,0))*고양시_Modal_split!L$3 * 0.01</f>
        <v>1.645293710967043E-2</v>
      </c>
      <c r="BM157" s="207">
        <f>INDEX($A$145:$H$158,MATCH($L157,$B$145:$B$158,0),MATCH($BC$144,$A$145:$H$145,0))*고양시_Modal_split!M$3 * 0.01</f>
        <v>1.2530382566967543E-3</v>
      </c>
      <c r="BN157" s="207">
        <f>INDEX($A$145:$H$158,MATCH($L157,$B$145:$B$158,0),MATCH($BC$144,$A$145:$H$145,0))*고양시_Modal_split!N$3 * 0.01</f>
        <v>5.4479924204206716E-4</v>
      </c>
      <c r="BO157" s="207">
        <f>INDEX($A$145:$H$158,MATCH($L157,$B$145:$B$158,0),MATCH($BC$144,$A$145:$H$145,0))*고양시_Modal_split!O$3 * 0.01</f>
        <v>9.8063863567572087E-4</v>
      </c>
      <c r="BP157" s="207">
        <f>INDEX($A$145:$H$158,MATCH($L157,$B$145:$B$158,0),MATCH($BC$144,$A$145:$H$145,0))*고양시_Modal_split!P$3 * 0.01</f>
        <v>0.5447992420420672</v>
      </c>
      <c r="BQ157" s="207">
        <f>INDEX($A$145:$H$158,MATCH($L157,$B$145:$B$158,0),MATCH($BQ$144,$A$145:$H$145,0))*고양시_Modal_split!C$3 * 0.01</f>
        <v>5.7627653158227512E-3</v>
      </c>
      <c r="BR157" s="207">
        <f>INDEX($A$145:$H$158,MATCH($L157,$B$145:$B$158,0),MATCH($BQ$144,$A$145:$H$145,0))*고양시_Modal_split!D$3 * 0.01</f>
        <v>0.96793876001122858</v>
      </c>
      <c r="BS157" s="207">
        <f>INDEX($A$145:$H$158,MATCH($L157,$B$145:$B$158,0),MATCH($BQ$144,$A$145:$H$145,0))*고양시_Modal_split!E$3 * 0.01</f>
        <v>0.11710762373939805</v>
      </c>
      <c r="BT157" s="207">
        <f>INDEX($A$145:$H$158,MATCH($L157,$B$145:$B$158,0),MATCH($BQ$144,$A$145:$H$145,0))*고양시_Modal_split!F$3 * 0.01</f>
        <v>0.18873056409319511</v>
      </c>
      <c r="BU157" s="207">
        <f>INDEX($A$145:$H$158,MATCH($L157,$B$145:$B$158,0),MATCH($BQ$144,$A$145:$H$145,0))*고양시_Modal_split!G$3 * 0.01</f>
        <v>1.893480032341761E-2</v>
      </c>
      <c r="BV157" s="207">
        <f>INDEX($A$145:$H$158,MATCH($L157,$B$145:$B$158,0),MATCH($BQ$144,$A$145:$H$145,0))*고양시_Modal_split!H$3 * 0.01</f>
        <v>2.058130469936697E-4</v>
      </c>
      <c r="BW157" s="207">
        <f>INDEX($A$145:$H$158,MATCH($L157,$B$145:$B$158,0),MATCH($BQ$144,$A$145:$H$145,0))*고양시_Modal_split!I$3 * 0.01</f>
        <v>5.7216027064240171E-2</v>
      </c>
      <c r="BX157" s="207">
        <f>INDEX($A$145:$H$158,MATCH($L157,$B$145:$B$158,0),MATCH($BQ$144,$A$145:$H$145,0))*고양시_Modal_split!J$3 * 0.01</f>
        <v>0.62649491504873056</v>
      </c>
      <c r="BY157" s="207">
        <f>INDEX($A$145:$H$158,MATCH($L157,$B$145:$B$158,0),MATCH($BQ$144,$A$145:$H$145,0))*고양시_Modal_split!K$3 * 0.01</f>
        <v>3.0871957049050454E-3</v>
      </c>
      <c r="BZ157" s="207">
        <f>INDEX($A$145:$H$158,MATCH($L157,$B$145:$B$158,0),MATCH($BQ$144,$A$145:$H$145,0))*고양시_Modal_split!L$3 * 0.01</f>
        <v>6.215554019208825E-2</v>
      </c>
      <c r="CA157" s="207">
        <f>INDEX($A$145:$H$158,MATCH($L157,$B$145:$B$158,0),MATCH($BQ$144,$A$145:$H$145,0))*고양시_Modal_split!M$3 * 0.01</f>
        <v>4.7337000808544026E-3</v>
      </c>
      <c r="CB157" s="207">
        <f>INDEX($A$145:$H$158,MATCH($L157,$B$145:$B$158,0),MATCH($BQ$144,$A$145:$H$145,0))*고양시_Modal_split!N$3 * 0.01</f>
        <v>2.0581304699366972E-3</v>
      </c>
      <c r="CC157" s="207">
        <f>INDEX($A$145:$H$158,MATCH($L157,$B$145:$B$158,0),MATCH($BQ$144,$A$145:$H$145,0))*고양시_Modal_split!O$3 * 0.01</f>
        <v>3.7046348458860544E-3</v>
      </c>
      <c r="CD157" s="207">
        <f>INDEX($A$145:$H$158,MATCH($L157,$B$145:$B$158,0),MATCH($BQ$144,$A$145:$H$145,0))*고양시_Modal_split!P$3 * 0.01</f>
        <v>2.0581304699366969</v>
      </c>
      <c r="CE157" s="304">
        <f t="shared" si="84"/>
        <v>20.23645888580414</v>
      </c>
      <c r="CF157" s="304">
        <f t="shared" si="64"/>
        <v>3399.0023621406035</v>
      </c>
      <c r="CG157" s="304">
        <f t="shared" si="65"/>
        <v>411.23375378651991</v>
      </c>
      <c r="CH157" s="304">
        <f t="shared" si="66"/>
        <v>662.74402851008574</v>
      </c>
      <c r="CI157" s="304">
        <f t="shared" si="67"/>
        <v>66.491222053356481</v>
      </c>
      <c r="CJ157" s="304">
        <f t="shared" si="68"/>
        <v>0.72273067449300499</v>
      </c>
      <c r="CK157" s="304">
        <f t="shared" si="69"/>
        <v>200.91912750905541</v>
      </c>
      <c r="CL157" s="304">
        <f t="shared" si="70"/>
        <v>2199.9921731567078</v>
      </c>
      <c r="CM157" s="304">
        <f t="shared" si="71"/>
        <v>10.840960117395078</v>
      </c>
      <c r="CN157" s="304">
        <f t="shared" si="72"/>
        <v>218.26466369688757</v>
      </c>
      <c r="CO157" s="304">
        <f t="shared" si="73"/>
        <v>16.62280551333912</v>
      </c>
      <c r="CP157" s="304">
        <f t="shared" si="74"/>
        <v>7.2273067449300514</v>
      </c>
      <c r="CQ157" s="304">
        <f t="shared" si="75"/>
        <v>13.009152140874093</v>
      </c>
      <c r="CR157" s="304">
        <f t="shared" si="76"/>
        <v>7227.3067449300506</v>
      </c>
      <c r="CS157" s="305">
        <f t="shared" si="85"/>
        <v>0</v>
      </c>
      <c r="CV157" s="267"/>
      <c r="CW157" s="267" t="s">
        <v>47</v>
      </c>
      <c r="CX157" s="267">
        <f>INDEX($M$144:$Z$158,MATCH($CW157,$L$144:$L$158,0),MATCH(CX$145,$M$145:$Z$145,0))/INDEX(고양시_재차인원!$D$4:$H$35,MATCH("고양시",고양시_재차인원!$B$4:$B$35,0),MATCH($CX$144,고양시_재차인원!$D$4:$H$4,0))</f>
        <v>350.62361490532788</v>
      </c>
      <c r="CY157" s="267">
        <f>INDEX($M$144:$Z$158,MATCH($CW157,$L$144:$L$158,0),MATCH(CY$145,$M$145:$Z$145,0))/INDEX(고양시_재차인원!$K$4:$O$20,MATCH("경기도",고양시_재차인원!$K$4:$K$20,0),MATCH(CY$145,고양시_재차인원!$K$4:$O$4,0))</f>
        <v>2.9002974585034431E-3</v>
      </c>
      <c r="CZ157" s="267">
        <f>INDEX($M$144:$Z$158,MATCH($CW157,$L$144:$L$158,0),MATCH(CZ$145,$M$145:$Z$145,0))/INDEX(고양시_재차인원!$K$4:$O$20,MATCH("경기도",고양시_재차인원!$K$4:$K$20,0),MATCH(CZ$145,고양시_재차인원!$K$4:$O$4,0))</f>
        <v>0.80628269346395698</v>
      </c>
      <c r="DA157" s="267">
        <f>INDEX($M$144:$Z$158,MATCH($CW157,$L$144:$L$158,0),MATCH(DA$145,$M$145:$Z$145,0))/INDEX(고양시_재차인원!$D$4:$H$35,MATCH("고양시",고양시_재차인원!$B$4:$B$35,0),MATCH($CX$144,고양시_재차인원!$D$4:$H$4,0))</f>
        <v>22.515060961388269</v>
      </c>
      <c r="DB157" s="267">
        <f>INDEX($AA$144:$AN$158,MATCH($CW157,$L$144:$L$158,0),MATCH(DB$145,$AA$145:$AN$145,0))/INDEX(고양시_재차인원!$D$4:$H$35,MATCH("고양시",고양시_재차인원!$B$4:$B$35,0),MATCH($DB$144,고양시_재차인원!$D$4:$H$4,0))</f>
        <v>2015.6305050463257</v>
      </c>
      <c r="DC157" s="267">
        <f>INDEX($AA$144:$AN$158,MATCH($CW157,$L$144:$L$158,0),MATCH(DC$145,$AA$145:$AN$145,0))/INDEX(고양시_재차인원!$K$4:$O$20,MATCH("경기도",고양시_재차인원!$K$4:$K$20,0),MATCH(DC$145,고양시_재차인원!$K$4:$O$4,0))</f>
        <v>2.0990046054980307E-2</v>
      </c>
      <c r="DD157" s="267">
        <f>INDEX($AA$144:$AN$158,MATCH($CW157,$L$144:$L$158,0),MATCH(DD$145,$AA$145:$AN$145,0))/INDEX(고양시_재차인원!$K$4:$O$20,MATCH("경기도",고양시_재차인원!$K$4:$K$20,0),MATCH(DD$145,고양시_재차인원!$K$4:$O$4,0))</f>
        <v>5.8352328032845246</v>
      </c>
      <c r="DE157" s="267">
        <f>INDEX($AA$144:$AN$158,MATCH($CW157,$L$144:$L$158,0),MATCH(DE$145,$AA$145:$AN$145,0))/INDEX(고양시_재차인원!$D$4:$H$35,MATCH("고양시",고양시_재차인원!$B$4:$B$35,0),MATCH($DB$144,고양시_재차인원!$D$4:$H$4,0))</f>
        <v>129.4323649849012</v>
      </c>
      <c r="DF157" s="267">
        <f>INDEX($AO$144:$BB$158,MATCH($CW157,$L$144:$L$158,0),MATCH(DF$145,$AO$145:$BB$145,0))/INDEX(고양시_재차인원!$D$4:$H$35,MATCH("고양시",고양시_재차인원!$B$4:$B$35,0),MATCH($DF$144,고양시_재차인원!$D$4:$H$4,0))</f>
        <v>125.41595652905654</v>
      </c>
      <c r="DG157" s="267">
        <f>INDEX($AO$144:$BB$158,MATCH($CW157,$L$144:$L$158,0),MATCH(DG$145,$AO$145:$BB$145,0))/INDEX(고양시_재차인원!$K$4:$O$20,MATCH("경기도",고양시_재차인원!$K$4:$K$20,0),MATCH(DG$145,고양시_재차인원!$K$4:$O$4,0))</f>
        <v>1.2041469874473827E-3</v>
      </c>
      <c r="DH157" s="267">
        <f>INDEX($AO$144:$BB$158,MATCH($CW157,$L$144:$L$158,0),MATCH(DH$145,$AO$145:$BB$145,0))/INDEX(고양시_재차인원!$K$4:$O$20,MATCH("경기도",고양시_재차인원!$K$4:$K$20,0),MATCH(DH$145,고양시_재차인원!$K$4:$O$4,0))</f>
        <v>0.3347528625103724</v>
      </c>
      <c r="DI157" s="267">
        <f>INDEX($AO$144:$BB$158,MATCH($CW157,$L$144:$L$158,0),MATCH(DI$145,$AO$145:$BB$145,0))/INDEX(고양시_재차인원!$D$4:$H$35,MATCH("고양시",고양시_재차인원!$B$4:$B$35,0),MATCH($DF$144,고양시_재차인원!$D$4:$H$4,0))</f>
        <v>8.0535017800925104</v>
      </c>
      <c r="DJ157" s="267">
        <f>INDEX($BC$144:$BP$158,MATCH($CW157,$L$144:$L$158,0),MATCH(DJ$145,$BC$145:$BP$145,0))/INDEX(고양시_재차인원!$D$4:$H$35,MATCH("고양시",고양시_재차인원!$B$4:$B$35,0),MATCH($DJ$144,고양시_재차인원!$D$4:$H$4,0))</f>
        <v>0.18839638495028249</v>
      </c>
      <c r="DK157" s="267">
        <f>INDEX($BC$144:$BP$158,MATCH($CW157,$L$144:$L$158,0),MATCH(DK$145,$BC$145:$BP$145,0))/INDEX(고양시_재차인원!$K$4:$O$20,MATCH("경기도",고양시_재차인원!$K$4:$K$20,0),MATCH(DK$145,고양시_재차인원!$K$4:$O$4,0))</f>
        <v>1.8923210908025954E-6</v>
      </c>
      <c r="DL157" s="267">
        <f>INDEX($BC$144:$BP$158,MATCH($CW157,$L$144:$L$158,0),MATCH(DL$145,$BC$145:$BP$145,0))/INDEX(고양시_재차인원!$K$4:$O$20,MATCH("경기도",고양시_재차인원!$K$4:$K$20,0),MATCH(DL$145,고양시_재차인원!$K$4:$O$4,0))</f>
        <v>5.2606526324312157E-4</v>
      </c>
      <c r="DM157" s="267">
        <f>INDEX($BC$144:$BP$158,MATCH($CW157,$L$144:$L$158,0),MATCH(DM$145,$BC$145:$BP$145,0))/INDEX(고양시_재차인원!$D$4:$H$35,MATCH("고양시",고양시_재차인원!$B$4:$B$35,0),MATCH($DJ$144,고양시_재차인원!$D$4:$H$4,0))</f>
        <v>1.2097747874757668E-2</v>
      </c>
      <c r="DN157" s="267">
        <f>INDEX($BQ$144:$CD$158,MATCH($CW157,$L$144:$L$158,0),MATCH(DN$145,$BQ$145:$CD$145,0))/INDEX(고양시_재차인원!$D$4:$H$35,MATCH("고양시",고양시_재차인원!$B$4:$B$35,0),MATCH($DN$144,고양시_재차인원!$D$4:$H$4,0))</f>
        <v>0.76820536508827664</v>
      </c>
      <c r="DO157" s="267">
        <f>INDEX($BQ$144:$CD$158,MATCH($CW157,$L$144:$L$158,0),MATCH(DO$145,$BQ$145:$CD$145,0))/INDEX(고양시_재차인원!$K$4:$O$20,MATCH("경기도",고양시_재차인원!$K$4:$K$20,0),MATCH(DO$145,고양시_재차인원!$K$4:$O$4,0))</f>
        <v>7.1487685652542448E-6</v>
      </c>
      <c r="DP157" s="267">
        <f>INDEX($BQ$144:$CD$158,MATCH($CW157,$L$144:$L$158,0),MATCH(DP$145,$BQ$145:$CD$145,0))/INDEX(고양시_재차인원!$K$4:$O$20,MATCH("경기도",고양시_재차인원!$K$4:$K$20,0),MATCH(DP$145,고양시_재차인원!$K$4:$O$4,0))</f>
        <v>1.9873576611406799E-3</v>
      </c>
      <c r="DQ157" s="267">
        <f>INDEX($BQ$144:$CD$158,MATCH($CW157,$L$144:$L$158,0),MATCH(DQ$145,$BQ$145:$CD$145,0))/INDEX(고양시_재차인원!$D$4:$H$35,MATCH("고양시",고양시_재차인원!$B$4:$B$35,0),MATCH($DN$144,고양시_재차인원!$D$4:$H$4,0))</f>
        <v>4.9329793803244641E-2</v>
      </c>
      <c r="DR157" s="270">
        <f t="shared" si="86"/>
        <v>2492.6266782307489</v>
      </c>
      <c r="DS157" s="270">
        <f t="shared" si="77"/>
        <v>2.5103531590587192E-2</v>
      </c>
      <c r="DT157" s="270">
        <f t="shared" si="78"/>
        <v>6.9787817821832379</v>
      </c>
      <c r="DU157" s="270">
        <f t="shared" si="79"/>
        <v>160.06235526805997</v>
      </c>
      <c r="DW157" s="278"/>
      <c r="DX157" s="278" t="s">
        <v>47</v>
      </c>
      <c r="DY157" s="281">
        <f t="shared" si="87"/>
        <v>2652.6890334988088</v>
      </c>
      <c r="DZ157" s="281">
        <f t="shared" si="88"/>
        <v>7.0038853137738251</v>
      </c>
      <c r="EB157" s="278"/>
      <c r="EC157" s="278" t="s">
        <v>47</v>
      </c>
      <c r="ED157" s="281">
        <f t="shared" si="89"/>
        <v>2652.6890334988088</v>
      </c>
      <c r="EE157" s="281">
        <f t="shared" si="80"/>
        <v>7.0038853137738251</v>
      </c>
      <c r="EL157" s="306" t="s">
        <v>667</v>
      </c>
      <c r="EM157" s="306" t="s">
        <v>372</v>
      </c>
      <c r="EN157" s="306">
        <v>20007.53</v>
      </c>
      <c r="EO157" s="306">
        <v>0.10773467325274116</v>
      </c>
      <c r="EP157" s="307">
        <v>849112</v>
      </c>
      <c r="EQ157" s="308">
        <f t="shared" si="90"/>
        <v>442.62696645172127</v>
      </c>
      <c r="ER157" s="308">
        <f t="shared" si="91"/>
        <v>1.1686663874515779</v>
      </c>
      <c r="ET157" s="420" t="s">
        <v>667</v>
      </c>
      <c r="EU157" s="420" t="s">
        <v>372</v>
      </c>
      <c r="EV157" s="420">
        <v>20007.53</v>
      </c>
      <c r="EW157" s="420">
        <v>0.10773467325274116</v>
      </c>
      <c r="EX157" s="421">
        <v>849112</v>
      </c>
      <c r="EY157" s="422">
        <f t="shared" si="92"/>
        <v>430.01209790784725</v>
      </c>
      <c r="EZ157" s="422">
        <f t="shared" si="81"/>
        <v>1.135359395409208</v>
      </c>
      <c r="FA157">
        <v>0</v>
      </c>
      <c r="FD157" s="306" t="s">
        <v>667</v>
      </c>
      <c r="FE157" s="306" t="s">
        <v>372</v>
      </c>
      <c r="FF157" s="306">
        <v>20007.53</v>
      </c>
      <c r="FG157" s="306">
        <v>0.10773467325274116</v>
      </c>
      <c r="FH157" s="307">
        <v>849112</v>
      </c>
      <c r="FI157" s="308">
        <f t="shared" si="82"/>
        <v>430.01209790784725</v>
      </c>
      <c r="FJ157" s="308">
        <f t="shared" si="83"/>
        <v>1.135359395409208</v>
      </c>
      <c r="FL157" s="101"/>
      <c r="FM157" s="101"/>
      <c r="FN157" s="101"/>
      <c r="FO157" s="101"/>
      <c r="FP157" s="374"/>
      <c r="FQ157" s="404"/>
      <c r="FR157" s="404"/>
    </row>
    <row r="158" spans="1:174">
      <c r="A158" s="205"/>
      <c r="B158" s="205" t="s">
        <v>676</v>
      </c>
      <c r="C158" s="400">
        <f>$AB73*KTDB_TripDistribution_2045!T$12 * (1+KTDB_발생량도착량_증가율!$C$7*2) * (1+KTDB_발생량도착량_증가율!$D$8*5)* (1+KTDB_발생량도착량_증가율!$E$8*5)* (1+KTDB_발생량도착량_증가율!$F$8*5)* (1+KTDB_발생량도착량_증가율!$G$8*5)</f>
        <v>5350.0107486394745</v>
      </c>
      <c r="D158" s="400">
        <f>$AB73*KTDB_TripDistribution_2045!U$12 * (1+KTDB_발생량도착량_증가율!$C$7*2) * (1+KTDB_발생량도착량_증가율!$D$8*5)* (1+KTDB_발생량도착량_증가율!$E$8*5)* (1+KTDB_발생량도착량_증가율!$F$8*5)* (1+KTDB_발생량도착량_증가율!$G$8*5)</f>
        <v>38719.1223022095</v>
      </c>
      <c r="E158" s="400">
        <f>$AB73*KTDB_TripDistribution_2045!V$12 * (1+KTDB_발생량도착량_증가율!$C$7*2) * (1+KTDB_발생량도착량_증가율!$D$8*5)* (1+KTDB_발생량도착량_증가율!$E$8*5)* (1+KTDB_발생량도착량_증가율!$F$8*5)* (1+KTDB_발생량도착량_증가율!$G$8*5)</f>
        <v>2221.2202086021625</v>
      </c>
      <c r="F158" s="400">
        <f>$AB73*KTDB_TripDistribution_2045!W$12 * (1+KTDB_발생량도착량_증가율!$C$7*2) * (1+KTDB_발생량도착량_증가율!$D$8*5)* (1+KTDB_발생량도착량_증가율!$E$8*5)* (1+KTDB_발생량도착량_증가율!$F$8*5)* (1+KTDB_발생량도착량_증가율!$G$8*5)</f>
        <v>3.4906551209043997</v>
      </c>
      <c r="G158" s="400">
        <f>$AB73*KTDB_TripDistribution_2045!X$12 * (1+KTDB_발생량도착량_증가율!$C$7*2) * (1+KTDB_발생량도착량_증가율!$D$8*5)* (1+KTDB_발생량도착량_증가율!$E$8*5)* (1+KTDB_발생량도착량_증가율!$F$8*5)* (1+KTDB_발생량도착량_증가율!$G$8*5)</f>
        <v>13.186919345638834</v>
      </c>
      <c r="H158" s="400">
        <f>$AB73*KTDB_TripDistribution_2045!Y$12 * (1+KTDB_발생량도착량_증가율!$C$7*2) * (1+KTDB_발생량도착량_증가율!$D$8*5)* (1+KTDB_발생량도착량_증가율!$E$8*5)* (1+KTDB_발생량도착량_증가율!$F$8*5)* (1+KTDB_발생량도착량_증가율!$G$8*5)</f>
        <v>46307.030833917677</v>
      </c>
      <c r="I158" t="b">
        <f>H158=$AB$73 * (1+KTDB_발생량도착량_증가율!$C$7*2)</f>
        <v>0</v>
      </c>
      <c r="J158" s="230">
        <f>CR158</f>
        <v>46307.030833917685</v>
      </c>
      <c r="K158" s="206"/>
      <c r="L158" s="206" t="s">
        <v>26</v>
      </c>
      <c r="M158" s="206">
        <f>INDEX($A$145:$H$158,MATCH($L158,$B$145:$B$158,0),MATCH($M$144,$A$145:$H$145,0))*고양시_Modal_split!C$3 * 0.01</f>
        <v>14.980030096190529</v>
      </c>
      <c r="N158" s="206">
        <f>INDEX($A$145:$H$158,MATCH($L158,$B$145:$B$158,0),MATCH($M$144,$A$145:$H$145,0))*고양시_Modal_split!D$3 * 0.01</f>
        <v>2516.1100550851452</v>
      </c>
      <c r="O158" s="206">
        <f>INDEX($A$145:$H$158,MATCH($L158,$B$145:$B$158,0),MATCH($M$144,$A$145:$H$145,0))*고양시_Modal_split!E$3 * 0.01</f>
        <v>304.41561159758606</v>
      </c>
      <c r="P158" s="206">
        <f>INDEX($A$145:$H$158,MATCH($L158,$B$145:$B$158,0),MATCH($M$144,$A$145:$H$145,0))*고양시_Modal_split!F$3 * 0.01</f>
        <v>490.59598565023981</v>
      </c>
      <c r="Q158" s="206">
        <f>INDEX($A$145:$H$158,MATCH($L158,$B$145:$B$158,0),MATCH($M$144,$A$145:$H$145,0))*고양시_Modal_split!G$3 * 0.01</f>
        <v>49.220098887483168</v>
      </c>
      <c r="R158" s="206">
        <f>INDEX($A$145:$H$158,MATCH($L158,$B$145:$B$158,0),MATCH($M$144,$A$145:$H$145,0))*고양시_Modal_split!H$3 * 0.01</f>
        <v>0.53500107486394743</v>
      </c>
      <c r="S158" s="206">
        <f>INDEX($A$145:$H$158,MATCH($L158,$B$145:$B$158,0),MATCH($M$144,$A$145:$H$145,0))*고양시_Modal_split!I$3 * 0.01</f>
        <v>148.73029881217738</v>
      </c>
      <c r="T158" s="206">
        <f>INDEX($A$145:$H$158,MATCH($L158,$B$145:$B$158,0),MATCH($M$144,$A$145:$H$145,0))*고양시_Modal_split!J$3 * 0.01</f>
        <v>1628.5432718858563</v>
      </c>
      <c r="U158" s="206">
        <f>INDEX($A$145:$H$158,MATCH($L158,$B$145:$B$158,0),MATCH($M$144,$A$145:$H$145,0))*고양시_Modal_split!K$3 * 0.01</f>
        <v>8.0250161229592116</v>
      </c>
      <c r="V158" s="206">
        <f>INDEX($A$145:$H$158,MATCH($L158,$B$145:$B$158,0),MATCH($M$144,$A$145:$H$145,0))*고양시_Modal_split!L$3 * 0.01</f>
        <v>161.57032460891213</v>
      </c>
      <c r="W158" s="206">
        <f>INDEX($A$145:$H$158,MATCH($L158,$B$145:$B$158,0),MATCH($M$144,$A$145:$H$145,0))*고양시_Modal_split!M$3 * 0.01</f>
        <v>12.305024721870792</v>
      </c>
      <c r="X158" s="206">
        <f>INDEX($A$145:$H$158,MATCH($L158,$B$145:$B$158,0),MATCH($M$144,$A$145:$H$145,0))*고양시_Modal_split!N$3 * 0.01</f>
        <v>5.350010748639475</v>
      </c>
      <c r="Y158" s="206">
        <f>INDEX($A$145:$H$158,MATCH($L158,$B$145:$B$158,0),MATCH($M$144,$A$145:$H$145,0))*고양시_Modal_split!O$3 * 0.01</f>
        <v>9.6300193475510536</v>
      </c>
      <c r="Z158" s="209">
        <f>INDEX($A$145:$H$158,MATCH($L158,$B$145:$B$158,0),MATCH($M$144,$A$145:$H$145,0))*고양시_Modal_split!P$3 * 0.01</f>
        <v>5350.0107486394745</v>
      </c>
      <c r="AA158" s="207">
        <f>INDEX($A$145:$H$158,MATCH($L158,$B$145:$B$158,0),MATCH($AA$144,$A$145:$H$145,0))*고양시_Modal_split!C$3 * 0.01</f>
        <v>108.41354244618658</v>
      </c>
      <c r="AB158" s="207">
        <f>INDEX($A$145:$H$158,MATCH($L158,$B$145:$B$158,0),MATCH($AA$144,$A$145:$H$145,0))*고양시_Modal_split!D$3 * 0.01</f>
        <v>18209.603218729128</v>
      </c>
      <c r="AC158" s="207">
        <f>INDEX($A$145:$H$158,MATCH($L158,$B$145:$B$158,0),MATCH($AA$144,$A$145:$H$145,0))*고양시_Modal_split!E$3 * 0.01</f>
        <v>2203.1180589957203</v>
      </c>
      <c r="AD158" s="207">
        <f>INDEX($A$145:$H$158,MATCH($L158,$B$145:$B$158,0),MATCH($AA$144,$A$145:$H$145,0))*고양시_Modal_split!F$3 * 0.01</f>
        <v>3550.5435151126112</v>
      </c>
      <c r="AE158" s="207">
        <f>INDEX($A$145:$H$158,MATCH($L158,$B$145:$B$158,0),MATCH($AA$144,$A$145:$H$145,0))*고양시_Modal_split!G$3 * 0.01</f>
        <v>356.21592518032742</v>
      </c>
      <c r="AF158" s="207">
        <f>INDEX($A$145:$H$158,MATCH($L158,$B$145:$B$158,0),MATCH($AA$144,$A$145:$H$145,0))*고양시_Modal_split!H$3 * 0.01</f>
        <v>3.8719122302209503</v>
      </c>
      <c r="AG158" s="207">
        <f>INDEX($A$145:$H$158,MATCH($L158,$B$145:$B$158,0),MATCH($AA$144,$A$145:$H$145,0))*고양시_Modal_split!I$3 * 0.01</f>
        <v>1076.3916000014242</v>
      </c>
      <c r="AH158" s="207">
        <f>INDEX($A$145:$H$158,MATCH($L158,$B$145:$B$158,0),MATCH($AA$144,$A$145:$H$145,0))*고양시_Modal_split!J$3 * 0.01</f>
        <v>11786.100828792572</v>
      </c>
      <c r="AI158" s="207">
        <f>INDEX($A$145:$H$158,MATCH($L158,$B$145:$B$158,0),MATCH($AA$144,$A$145:$H$145,0))*고양시_Modal_split!K$3 * 0.01</f>
        <v>58.078683453314255</v>
      </c>
      <c r="AJ158" s="207">
        <f>INDEX($A$145:$H$158,MATCH($L158,$B$145:$B$158,0),MATCH($AA$144,$A$145:$H$145,0))*고양시_Modal_split!L$3 * 0.01</f>
        <v>1169.3174935267268</v>
      </c>
      <c r="AK158" s="207">
        <f>INDEX($A$145:$H$158,MATCH($L158,$B$145:$B$158,0),MATCH($AA$144,$A$145:$H$145,0))*고양시_Modal_split!M$3 * 0.01</f>
        <v>89.053981295081854</v>
      </c>
      <c r="AL158" s="207">
        <f>INDEX($A$145:$H$158,MATCH($L158,$B$145:$B$158,0),MATCH($AA$144,$A$145:$H$145,0))*고양시_Modal_split!N$3 * 0.01</f>
        <v>38.719122302209506</v>
      </c>
      <c r="AM158" s="207">
        <f>INDEX($A$145:$H$158,MATCH($L158,$B$145:$B$158,0),MATCH($AA$144,$A$145:$H$145,0))*고양시_Modal_split!O$3 * 0.01</f>
        <v>69.694420143977098</v>
      </c>
      <c r="AN158" s="207">
        <f>INDEX($A$145:$H$158,MATCH($L158,$B$145:$B$158,0),MATCH($AA$144,$A$145:$H$145,0))*고양시_Modal_split!P$3 * 0.01</f>
        <v>38719.1223022095</v>
      </c>
      <c r="AO158" s="303">
        <f>INDEX($A$145:$H$158,MATCH($L158,$B$145:$B$158,0),MATCH($AO$144,$A$145:$H$145,0))*고양시_Modal_split!C$3 * 0.01</f>
        <v>6.2194165840860549</v>
      </c>
      <c r="AP158" s="303">
        <f>INDEX($A$145:$H$158,MATCH($L158,$B$145:$B$158,0),MATCH($AO$144,$A$145:$H$145,0))*고양시_Modal_split!D$3 * 0.01</f>
        <v>1044.6398641055971</v>
      </c>
      <c r="AQ158" s="303">
        <f>INDEX($A$145:$H$158,MATCH($L158,$B$145:$B$158,0),MATCH($AO$144,$A$145:$H$145,0))*고양시_Modal_split!E$3 * 0.01</f>
        <v>126.38742986946303</v>
      </c>
      <c r="AR158" s="303">
        <f>INDEX($A$145:$H$158,MATCH($L158,$B$145:$B$158,0),MATCH($AO$144,$A$145:$H$145,0))*고양시_Modal_split!F$3 * 0.01</f>
        <v>203.68589312881832</v>
      </c>
      <c r="AS158" s="303">
        <f>INDEX($A$145:$H$158,MATCH($L158,$B$145:$B$158,0),MATCH($AO$144,$A$145:$H$145,0))*고양시_Modal_split!G$3 * 0.01</f>
        <v>20.435225919139892</v>
      </c>
      <c r="AT158" s="303">
        <f>INDEX($A$145:$H$158,MATCH($L158,$B$145:$B$158,0),MATCH($AO$144,$A$145:$H$145,0))*고양시_Modal_split!H$3 * 0.01</f>
        <v>0.22212202086021626</v>
      </c>
      <c r="AU158" s="303">
        <f>INDEX($A$145:$H$158,MATCH($L158,$B$145:$B$158,0),MATCH($AO$144,$A$145:$H$145,0))*고양시_Modal_split!I$3 * 0.01</f>
        <v>61.749921799140111</v>
      </c>
      <c r="AV158" s="303">
        <f>INDEX($A$145:$H$158,MATCH($L158,$B$145:$B$158,0),MATCH($AO$144,$A$145:$H$145,0))*고양시_Modal_split!J$3 * 0.01</f>
        <v>676.13943149849831</v>
      </c>
      <c r="AW158" s="303">
        <f>INDEX($A$145:$H$158,MATCH($L158,$B$145:$B$158,0),MATCH($AO$144,$A$145:$H$145,0))*고양시_Modal_split!K$3 * 0.01</f>
        <v>3.3318303129032438</v>
      </c>
      <c r="AX158" s="303">
        <f>INDEX($A$145:$H$158,MATCH($L158,$B$145:$B$158,0),MATCH($AO$144,$A$145:$H$145,0))*고양시_Modal_split!L$3 * 0.01</f>
        <v>67.080850299785311</v>
      </c>
      <c r="AY158" s="303">
        <f>INDEX($A$145:$H$158,MATCH($L158,$B$145:$B$158,0),MATCH($AO$144,$A$145:$H$145,0))*고양시_Modal_split!M$3 * 0.01</f>
        <v>5.108806479784973</v>
      </c>
      <c r="AZ158" s="303">
        <f>INDEX($A$145:$H$158,MATCH($L158,$B$145:$B$158,0),MATCH($AO$144,$A$145:$H$145,0))*고양시_Modal_split!N$3 * 0.01</f>
        <v>2.2212202086021624</v>
      </c>
      <c r="BA158" s="207">
        <f>INDEX($A$145:$H$158,MATCH($L158,$B$145:$B$158,0),MATCH($AO$144,$A$145:$H$145,0))*고양시_Modal_split!O$3 * 0.01</f>
        <v>3.998196375483893</v>
      </c>
      <c r="BB158" s="207">
        <f>INDEX($A$145:$H$158,MATCH($L158,$B$145:$B$158,0),MATCH($AO$144,$A$145:$H$145,0))*고양시_Modal_split!P$3 * 0.01</f>
        <v>2221.2202086021625</v>
      </c>
      <c r="BC158" s="207">
        <f>INDEX($A$145:$H$158,MATCH($L158,$B$145:$B$158,0),MATCH($BC$144,$A$145:$H$145,0))*고양시_Modal_split!C$3 * 0.01</f>
        <v>9.7738343385323188E-3</v>
      </c>
      <c r="BD158" s="207">
        <f>INDEX($A$145:$H$158,MATCH($L158,$B$145:$B$158,0),MATCH($BC$144,$A$145:$H$145,0))*고양시_Modal_split!D$3 * 0.01</f>
        <v>1.6416551033613394</v>
      </c>
      <c r="BE158" s="207">
        <f>INDEX($A$145:$H$158,MATCH($L158,$B$145:$B$158,0),MATCH($BC$144,$A$145:$H$145,0))*고양시_Modal_split!E$3 * 0.01</f>
        <v>0.19861827637946033</v>
      </c>
      <c r="BF158" s="207">
        <f>INDEX($A$145:$H$158,MATCH($L158,$B$145:$B$158,0),MATCH($BC$144,$A$145:$H$145,0))*고양시_Modal_split!F$3 * 0.01</f>
        <v>0.32009307458693342</v>
      </c>
      <c r="BG158" s="207">
        <f>INDEX($A$145:$H$158,MATCH($L158,$B$145:$B$158,0),MATCH($BC$144,$A$145:$H$145,0))*고양시_Modal_split!G$3 * 0.01</f>
        <v>3.2114027112320476E-2</v>
      </c>
      <c r="BH158" s="207">
        <f>INDEX($A$145:$H$158,MATCH($L158,$B$145:$B$158,0),MATCH($BC$144,$A$145:$H$145,0))*고양시_Modal_split!H$3 * 0.01</f>
        <v>3.4906551209044E-4</v>
      </c>
      <c r="BI158" s="207">
        <f>INDEX($A$145:$H$158,MATCH($L158,$B$145:$B$158,0),MATCH($BC$144,$A$145:$H$145,0))*고양시_Modal_split!I$3 * 0.01</f>
        <v>9.7040212361142297E-2</v>
      </c>
      <c r="BJ158" s="207">
        <f>INDEX($A$145:$H$158,MATCH($L158,$B$145:$B$158,0),MATCH($BC$144,$A$145:$H$145,0))*고양시_Modal_split!J$3 * 0.01</f>
        <v>1.0625554188032993</v>
      </c>
      <c r="BK158" s="207">
        <f>INDEX($A$145:$H$158,MATCH($L158,$B$145:$B$158,0),MATCH($BC$144,$A$145:$H$145,0))*고양시_Modal_split!K$3 * 0.01</f>
        <v>5.2359826813565989E-3</v>
      </c>
      <c r="BL158" s="207">
        <f>INDEX($A$145:$H$158,MATCH($L158,$B$145:$B$158,0),MATCH($BC$144,$A$145:$H$145,0))*고양시_Modal_split!L$3 * 0.01</f>
        <v>0.10541778465131288</v>
      </c>
      <c r="BM158" s="207">
        <f>INDEX($A$145:$H$158,MATCH($L158,$B$145:$B$158,0),MATCH($BC$144,$A$145:$H$145,0))*고양시_Modal_split!M$3 * 0.01</f>
        <v>8.0285067780801189E-3</v>
      </c>
      <c r="BN158" s="207">
        <f>INDEX($A$145:$H$158,MATCH($L158,$B$145:$B$158,0),MATCH($BC$144,$A$145:$H$145,0))*고양시_Modal_split!N$3 * 0.01</f>
        <v>3.4906551209044003E-3</v>
      </c>
      <c r="BO158" s="207">
        <f>INDEX($A$145:$H$158,MATCH($L158,$B$145:$B$158,0),MATCH($BC$144,$A$145:$H$145,0))*고양시_Modal_split!O$3 * 0.01</f>
        <v>6.283179217627919E-3</v>
      </c>
      <c r="BP158" s="207">
        <f>INDEX($A$145:$H$158,MATCH($L158,$B$145:$B$158,0),MATCH($BC$144,$A$145:$H$145,0))*고양시_Modal_split!P$3 * 0.01</f>
        <v>3.4906551209043997</v>
      </c>
      <c r="BQ158" s="207">
        <f>INDEX($A$145:$H$158,MATCH($L158,$B$145:$B$158,0),MATCH($BQ$144,$A$145:$H$145,0))*고양시_Modal_split!C$3 * 0.01</f>
        <v>3.6923374167788736E-2</v>
      </c>
      <c r="BR158" s="207">
        <f>INDEX($A$145:$H$158,MATCH($L158,$B$145:$B$158,0),MATCH($BQ$144,$A$145:$H$145,0))*고양시_Modal_split!D$3 * 0.01</f>
        <v>6.2018081682539439</v>
      </c>
      <c r="BS158" s="207">
        <f>INDEX($A$145:$H$158,MATCH($L158,$B$145:$B$158,0),MATCH($BQ$144,$A$145:$H$145,0))*고양시_Modal_split!E$3 * 0.01</f>
        <v>0.75033571076684968</v>
      </c>
      <c r="BT158" s="207">
        <f>INDEX($A$145:$H$158,MATCH($L158,$B$145:$B$158,0),MATCH($BQ$144,$A$145:$H$145,0))*고양시_Modal_split!F$3 * 0.01</f>
        <v>1.2092405039950813</v>
      </c>
      <c r="BU158" s="207">
        <f>INDEX($A$145:$H$158,MATCH($L158,$B$145:$B$158,0),MATCH($BQ$144,$A$145:$H$145,0))*고양시_Modal_split!G$3 * 0.01</f>
        <v>0.12131965797987727</v>
      </c>
      <c r="BV158" s="207">
        <f>INDEX($A$145:$H$158,MATCH($L158,$B$145:$B$158,0),MATCH($BQ$144,$A$145:$H$145,0))*고양시_Modal_split!H$3 * 0.01</f>
        <v>1.3186919345638834E-3</v>
      </c>
      <c r="BW158" s="207">
        <f>INDEX($A$145:$H$158,MATCH($L158,$B$145:$B$158,0),MATCH($BQ$144,$A$145:$H$145,0))*고양시_Modal_split!I$3 * 0.01</f>
        <v>0.3665963578087596</v>
      </c>
      <c r="BX158" s="207">
        <f>INDEX($A$145:$H$158,MATCH($L158,$B$145:$B$158,0),MATCH($BQ$144,$A$145:$H$145,0))*고양시_Modal_split!J$3 * 0.01</f>
        <v>4.0140982488124619</v>
      </c>
      <c r="BY158" s="207">
        <f>INDEX($A$145:$H$158,MATCH($L158,$B$145:$B$158,0),MATCH($BQ$144,$A$145:$H$145,0))*고양시_Modal_split!K$3 * 0.01</f>
        <v>1.9780379018458253E-2</v>
      </c>
      <c r="BZ158" s="207">
        <f>INDEX($A$145:$H$158,MATCH($L158,$B$145:$B$158,0),MATCH($BQ$144,$A$145:$H$145,0))*고양시_Modal_split!L$3 * 0.01</f>
        <v>0.39824496423829281</v>
      </c>
      <c r="CA158" s="207">
        <f>INDEX($A$145:$H$158,MATCH($L158,$B$145:$B$158,0),MATCH($BQ$144,$A$145:$H$145,0))*고양시_Modal_split!M$3 * 0.01</f>
        <v>3.0329914494969318E-2</v>
      </c>
      <c r="CB158" s="207">
        <f>INDEX($A$145:$H$158,MATCH($L158,$B$145:$B$158,0),MATCH($BQ$144,$A$145:$H$145,0))*고양시_Modal_split!N$3 * 0.01</f>
        <v>1.3186919345638835E-2</v>
      </c>
      <c r="CC158" s="207">
        <f>INDEX($A$145:$H$158,MATCH($L158,$B$145:$B$158,0),MATCH($BQ$144,$A$145:$H$145,0))*고양시_Modal_split!O$3 * 0.01</f>
        <v>2.3736454822149901E-2</v>
      </c>
      <c r="CD158" s="207">
        <f>INDEX($A$145:$H$158,MATCH($L158,$B$145:$B$158,0),MATCH($BQ$144,$A$145:$H$145,0))*고양시_Modal_split!P$3 * 0.01</f>
        <v>13.186919345638834</v>
      </c>
      <c r="CE158" s="304">
        <f t="shared" si="84"/>
        <v>129.65968633496951</v>
      </c>
      <c r="CF158" s="304">
        <f t="shared" si="64"/>
        <v>21778.196601191485</v>
      </c>
      <c r="CG158" s="304">
        <f t="shared" si="65"/>
        <v>2634.8700544499156</v>
      </c>
      <c r="CH158" s="304">
        <f t="shared" si="66"/>
        <v>4246.3547274702514</v>
      </c>
      <c r="CI158" s="304">
        <f t="shared" si="67"/>
        <v>426.02468367204267</v>
      </c>
      <c r="CJ158" s="304">
        <f t="shared" si="68"/>
        <v>4.6307030833917695</v>
      </c>
      <c r="CK158" s="304">
        <f t="shared" si="69"/>
        <v>1287.3354571829116</v>
      </c>
      <c r="CL158" s="304">
        <f t="shared" si="70"/>
        <v>14095.860185844542</v>
      </c>
      <c r="CM158" s="304">
        <f t="shared" si="71"/>
        <v>69.460546250876533</v>
      </c>
      <c r="CN158" s="304">
        <f t="shared" si="72"/>
        <v>1398.4723311843138</v>
      </c>
      <c r="CO158" s="304">
        <f t="shared" si="73"/>
        <v>106.50617091801067</v>
      </c>
      <c r="CP158" s="304">
        <f t="shared" si="74"/>
        <v>46.307030833917686</v>
      </c>
      <c r="CQ158" s="304">
        <f t="shared" si="75"/>
        <v>83.352655501051842</v>
      </c>
      <c r="CR158" s="304">
        <f t="shared" si="76"/>
        <v>46307.030833917685</v>
      </c>
      <c r="CS158" s="305">
        <f t="shared" si="85"/>
        <v>0</v>
      </c>
      <c r="CV158" s="267"/>
      <c r="CW158" s="267" t="s">
        <v>26</v>
      </c>
      <c r="CX158" s="267">
        <f>INDEX($M$144:$Z$158,MATCH($CW158,$L$144:$L$158,0),MATCH(CX$145,$M$145:$Z$145,0))/INDEX(고양시_재차인원!$D$4:$H$35,MATCH("고양시",고양시_재차인원!$B$4:$B$35,0),MATCH($CX$144,고양시_재차인원!$D$4:$H$4,0))</f>
        <v>2246.526834897451</v>
      </c>
      <c r="CY158" s="267">
        <f>INDEX($M$144:$Z$158,MATCH($CW158,$L$144:$L$158,0),MATCH(CY$145,$M$145:$Z$145,0))/INDEX(고양시_재차인원!$K$4:$O$20,MATCH("경기도",고양시_재차인원!$K$4:$K$20,0),MATCH(CY$145,고양시_재차인원!$K$4:$O$4,0))</f>
        <v>1.8582878598956146E-2</v>
      </c>
      <c r="CZ158" s="267">
        <f>INDEX($M$144:$Z$158,MATCH($CW158,$L$144:$L$158,0),MATCH(CZ$145,$M$145:$Z$145,0))/INDEX(고양시_재차인원!$K$4:$O$20,MATCH("경기도",고양시_재차인원!$K$4:$K$20,0),MATCH(CZ$145,고양시_재차인원!$K$4:$O$4,0))</f>
        <v>5.1660402505098082</v>
      </c>
      <c r="DA158" s="267">
        <f>INDEX($M$144:$Z$158,MATCH($CW158,$L$144:$L$158,0),MATCH(DA$145,$M$145:$Z$145,0))/INDEX(고양시_재차인원!$D$4:$H$35,MATCH("고양시",고양시_재차인원!$B$4:$B$35,0),MATCH($CX$144,고양시_재차인원!$D$4:$H$4,0))</f>
        <v>144.25921840081438</v>
      </c>
      <c r="DB158" s="267">
        <f>INDEX($AA$144:$AN$158,MATCH($CW158,$L$144:$L$158,0),MATCH(DB$145,$AA$145:$AN$145,0))/INDEX(고양시_재차인원!$D$4:$H$35,MATCH("고양시",고양시_재차인원!$B$4:$B$35,0),MATCH($DB$144,고양시_재차인원!$D$4:$H$4,0))</f>
        <v>12914.612211864631</v>
      </c>
      <c r="DC158" s="267">
        <f>INDEX($AA$144:$AN$158,MATCH($CW158,$L$144:$L$158,0),MATCH(DC$145,$AA$145:$AN$145,0))/INDEX(고양시_재차인원!$K$4:$O$20,MATCH("경기도",고양시_재차인원!$K$4:$K$20,0),MATCH(DC$145,고양시_재차인원!$K$4:$O$4,0))</f>
        <v>0.13448809413758078</v>
      </c>
      <c r="DD158" s="267">
        <f>INDEX($AA$144:$AN$158,MATCH($CW158,$L$144:$L$158,0),MATCH(DD$145,$AA$145:$AN$145,0))/INDEX(고양시_재차인원!$K$4:$O$20,MATCH("경기도",고양시_재차인원!$K$4:$K$20,0),MATCH(DD$145,고양시_재차인원!$K$4:$O$4,0))</f>
        <v>37.387690170247453</v>
      </c>
      <c r="DE158" s="267">
        <f>INDEX($AA$144:$AN$158,MATCH($CW158,$L$144:$L$158,0),MATCH(DE$145,$AA$145:$AN$145,0))/INDEX(고양시_재차인원!$D$4:$H$35,MATCH("고양시",고양시_재차인원!$B$4:$B$35,0),MATCH($DB$144,고양시_재차인원!$D$4:$H$4,0))</f>
        <v>829.30318689838782</v>
      </c>
      <c r="DF158" s="267">
        <f>INDEX($AO$144:$BB$158,MATCH($CW158,$L$144:$L$158,0),MATCH(DF$145,$AO$145:$BB$145,0))/INDEX(고양시_재차인원!$D$4:$H$35,MATCH("고양시",고양시_재차인원!$B$4:$B$35,0),MATCH($DF$144,고양시_재차인원!$D$4:$H$4,0))</f>
        <v>803.56912623507469</v>
      </c>
      <c r="DG158" s="267">
        <f>INDEX($AO$144:$BB$158,MATCH($CW158,$L$144:$L$158,0),MATCH(DG$145,$AO$145:$BB$145,0))/INDEX(고양시_재차인원!$K$4:$O$20,MATCH("경기도",고양시_재차인원!$K$4:$K$20,0),MATCH(DG$145,고양시_재차인원!$K$4:$O$4,0))</f>
        <v>7.7152490746862194E-3</v>
      </c>
      <c r="DH158" s="267">
        <f>INDEX($AO$144:$BB$158,MATCH($CW158,$L$144:$L$158,0),MATCH(DH$145,$AO$145:$BB$145,0))/INDEX(고양시_재차인원!$K$4:$O$20,MATCH("경기도",고양시_재차인원!$K$4:$K$20,0),MATCH(DH$145,고양시_재차인원!$K$4:$O$4,0))</f>
        <v>2.1448392427627687</v>
      </c>
      <c r="DI158" s="267">
        <f>INDEX($AO$144:$BB$158,MATCH($CW158,$L$144:$L$158,0),MATCH(DI$145,$AO$145:$BB$145,0))/INDEX(고양시_재차인원!$D$4:$H$35,MATCH("고양시",고양시_재차인원!$B$4:$B$35,0),MATCH($DF$144,고양시_재차인원!$D$4:$H$4,0))</f>
        <v>51.600654076757927</v>
      </c>
      <c r="DJ158" s="267">
        <f>INDEX($BC$144:$BP$158,MATCH($CW158,$L$144:$L$158,0),MATCH(DJ$145,$BC$145:$BP$145,0))/INDEX(고양시_재차인원!$D$4:$H$35,MATCH("고양시",고양시_재차인원!$B$4:$B$35,0),MATCH($DJ$144,고양시_재차인원!$D$4:$H$4,0))</f>
        <v>1.2070993407068671</v>
      </c>
      <c r="DK158" s="267">
        <f>INDEX($BC$144:$BP$158,MATCH($CW158,$L$144:$L$158,0),MATCH(DK$145,$BC$145:$BP$145,0))/INDEX(고양시_재차인원!$K$4:$O$20,MATCH("경기도",고양시_재차인원!$K$4:$K$20,0),MATCH(DK$145,고양시_재차인원!$K$4:$O$4,0))</f>
        <v>1.2124540190706497E-5</v>
      </c>
      <c r="DL158" s="267">
        <f>INDEX($BC$144:$BP$158,MATCH($CW158,$L$144:$L$158,0),MATCH(DL$145,$BC$145:$BP$145,0))/INDEX(고양시_재차인원!$K$4:$O$20,MATCH("경기도",고양시_재차인원!$K$4:$K$20,0),MATCH(DL$145,고양시_재차인원!$K$4:$O$4,0))</f>
        <v>3.3706221730164052E-3</v>
      </c>
      <c r="DM158" s="267">
        <f>INDEX($BC$144:$BP$158,MATCH($CW158,$L$144:$L$158,0),MATCH(DM$145,$BC$145:$BP$145,0))/INDEX(고양시_재차인원!$D$4:$H$35,MATCH("고양시",고양시_재차인원!$B$4:$B$35,0),MATCH($DJ$144,고양시_재차인원!$D$4:$H$4,0))</f>
        <v>7.7513076949494761E-2</v>
      </c>
      <c r="DN158" s="267">
        <f>INDEX($BQ$144:$CD$158,MATCH($CW158,$L$144:$L$158,0),MATCH(DN$145,$BQ$145:$CD$145,0))/INDEX(고양시_재차인원!$D$4:$H$35,MATCH("고양시",고양시_재차인원!$B$4:$B$35,0),MATCH($DN$144,고양시_재차인원!$D$4:$H$4,0))</f>
        <v>4.9220699748047174</v>
      </c>
      <c r="DO158" s="267">
        <f>INDEX($BQ$144:$CD$158,MATCH($CW158,$L$144:$L$158,0),MATCH(DO$145,$BQ$145:$CD$145,0))/INDEX(고양시_재차인원!$K$4:$O$20,MATCH("경기도",고양시_재차인원!$K$4:$K$20,0),MATCH(DO$145,고양시_재차인원!$K$4:$O$4,0))</f>
        <v>4.5803818498224501E-5</v>
      </c>
      <c r="DP158" s="267">
        <f>INDEX($BQ$144:$CD$158,MATCH($CW158,$L$144:$L$158,0),MATCH(DP$145,$BQ$145:$CD$145,0))/INDEX(고양시_재차인원!$K$4:$O$20,MATCH("경기도",고양시_재차인원!$K$4:$K$20,0),MATCH(DP$145,고양시_재차인원!$K$4:$O$4,0))</f>
        <v>1.2733461542506413E-2</v>
      </c>
      <c r="DQ158" s="267">
        <f>INDEX($BQ$144:$CD$158,MATCH($CW158,$L$144:$L$158,0),MATCH(DQ$145,$BQ$145:$CD$145,0))/INDEX(고양시_재차인원!$D$4:$H$35,MATCH("고양시",고양시_재차인원!$B$4:$B$35,0),MATCH($DN$144,고양시_재차인원!$D$4:$H$4,0))</f>
        <v>0.31606743193515302</v>
      </c>
      <c r="DR158" s="270">
        <f t="shared" si="86"/>
        <v>15970.837342312669</v>
      </c>
      <c r="DS158" s="270">
        <f t="shared" si="77"/>
        <v>0.16084415016991205</v>
      </c>
      <c r="DT158" s="270">
        <f t="shared" si="78"/>
        <v>44.714673747235558</v>
      </c>
      <c r="DU158" s="270">
        <f t="shared" si="79"/>
        <v>1025.5566398848448</v>
      </c>
      <c r="DW158" s="278"/>
      <c r="DX158" s="278" t="s">
        <v>26</v>
      </c>
      <c r="DY158" s="281">
        <f t="shared" si="87"/>
        <v>16996.393982197515</v>
      </c>
      <c r="DZ158" s="281">
        <f t="shared" si="88"/>
        <v>44.875517897405473</v>
      </c>
      <c r="EC158" s="278" t="s">
        <v>26</v>
      </c>
      <c r="ED158" s="281">
        <f t="shared" si="89"/>
        <v>16996.393982197515</v>
      </c>
      <c r="EE158" s="281">
        <f t="shared" si="80"/>
        <v>44.875517897405473</v>
      </c>
      <c r="EL158" s="322" t="s">
        <v>681</v>
      </c>
      <c r="EM158" s="322" t="s">
        <v>373</v>
      </c>
      <c r="EN158" s="322">
        <v>39402.4712</v>
      </c>
      <c r="EO158" s="322">
        <v>0.21217073572212786</v>
      </c>
      <c r="EP158" s="477">
        <v>849113</v>
      </c>
      <c r="EQ158" s="324">
        <f t="shared" ref="EQ158" si="93">VLOOKUP($EL158,$EC$102:$EE$114,2,FALSE)*$EO158</f>
        <v>869.68001924011901</v>
      </c>
      <c r="ER158" s="324">
        <f t="shared" ref="ER158" si="94">VLOOKUP($EL158,$EC$102:$EE$114,3,FALSE)*$EO158</f>
        <v>2.3015506498787635</v>
      </c>
      <c r="ET158" s="420" t="s">
        <v>681</v>
      </c>
      <c r="EU158" s="420" t="s">
        <v>373</v>
      </c>
      <c r="EV158" s="412"/>
      <c r="EW158" s="412"/>
      <c r="EX158" s="421">
        <v>849113</v>
      </c>
      <c r="EY158" s="423">
        <f t="shared" si="92"/>
        <v>844.89413869177565</v>
      </c>
      <c r="EZ158" s="423">
        <f t="shared" si="81"/>
        <v>2.235956456357219</v>
      </c>
      <c r="FA158">
        <v>0</v>
      </c>
      <c r="FD158" s="322" t="s">
        <v>370</v>
      </c>
      <c r="FE158" s="322" t="s">
        <v>373</v>
      </c>
      <c r="FF158" s="75"/>
      <c r="FG158" s="75"/>
      <c r="FH158" s="323">
        <v>849113</v>
      </c>
      <c r="FI158" s="327">
        <f t="shared" si="82"/>
        <v>844.89413869177565</v>
      </c>
      <c r="FJ158" s="327">
        <f t="shared" si="83"/>
        <v>2.235956456357219</v>
      </c>
      <c r="FL158" s="101"/>
      <c r="FM158" s="101"/>
      <c r="FN158" s="34"/>
      <c r="FO158" s="34"/>
      <c r="FP158" s="374"/>
      <c r="FQ158" s="405"/>
      <c r="FR158" s="405"/>
    </row>
    <row r="159" spans="1:174">
      <c r="ED159" s="230" t="b">
        <f>SUM(ED146:ED157)=ED158</f>
        <v>1</v>
      </c>
      <c r="EE159" s="230" t="b">
        <f>SUM(EE146:EE157)=EE158</f>
        <v>1</v>
      </c>
      <c r="EL159" s="75" t="s">
        <v>669</v>
      </c>
      <c r="EM159" s="325" t="s">
        <v>682</v>
      </c>
      <c r="EN159" s="75">
        <v>39402.4712</v>
      </c>
      <c r="EO159" s="75">
        <v>0.19507846659237171</v>
      </c>
      <c r="EP159" s="478"/>
      <c r="EQ159" s="324">
        <f>VLOOKUP($EL159,$EC$102:$EE$114,2,FALSE)*$EO159</f>
        <v>601.04928723106264</v>
      </c>
      <c r="ER159" s="324">
        <f>VLOOKUP($EL159,$EC$102:$EE$114,3,FALSE)*$EO159</f>
        <v>1.5906371849781196</v>
      </c>
      <c r="ET159" s="420" t="s">
        <v>669</v>
      </c>
      <c r="EU159" s="420" t="s">
        <v>569</v>
      </c>
      <c r="EV159" s="420">
        <v>70189.171300000002</v>
      </c>
      <c r="EW159" s="420">
        <v>0.34750094325538916</v>
      </c>
      <c r="EX159" s="421">
        <v>849114</v>
      </c>
      <c r="EY159" s="423">
        <f t="shared" si="92"/>
        <v>583.91938254497734</v>
      </c>
      <c r="EZ159" s="423">
        <f t="shared" si="81"/>
        <v>1.5453040252062431</v>
      </c>
      <c r="FA159">
        <v>0</v>
      </c>
      <c r="FD159" s="306" t="s">
        <v>669</v>
      </c>
      <c r="FE159" s="306" t="s">
        <v>569</v>
      </c>
      <c r="FF159" s="306">
        <v>70189.171300000002</v>
      </c>
      <c r="FG159" s="306">
        <v>0.34750094325538916</v>
      </c>
      <c r="FH159" s="307">
        <v>849114</v>
      </c>
      <c r="FI159" s="326">
        <f t="shared" si="82"/>
        <v>583.91938254497734</v>
      </c>
      <c r="FJ159" s="326">
        <f t="shared" si="83"/>
        <v>1.5453040252062431</v>
      </c>
      <c r="FL159" s="101"/>
      <c r="FM159" s="101"/>
      <c r="FN159" s="101"/>
      <c r="FO159" s="101"/>
      <c r="FP159" s="374"/>
      <c r="FQ159" s="405"/>
      <c r="FR159" s="405"/>
    </row>
    <row r="160" spans="1:174">
      <c r="EL160" s="306" t="s">
        <v>669</v>
      </c>
      <c r="EM160" s="306" t="s">
        <v>569</v>
      </c>
      <c r="EN160" s="306">
        <v>70189.171300000002</v>
      </c>
      <c r="EO160" s="306">
        <v>0.34750094325538916</v>
      </c>
      <c r="EP160" s="308">
        <v>849114</v>
      </c>
      <c r="EQ160" s="308">
        <f>VLOOKUP($EL160,$EC$145:$EE$157,2,FALSE)*$EO160</f>
        <v>1073.1615435156373</v>
      </c>
      <c r="ER160" s="308">
        <f>VLOOKUP($EL160,$EC$145:$EE$157,3,FALSE)*$EO160</f>
        <v>2.8334645633236075</v>
      </c>
      <c r="ET160" s="420" t="s">
        <v>669</v>
      </c>
      <c r="EU160" s="420" t="s">
        <v>79</v>
      </c>
      <c r="EV160" s="420">
        <v>51949.691800000001</v>
      </c>
      <c r="EW160" s="420">
        <v>0.2571987468717522</v>
      </c>
      <c r="EX160" s="421">
        <v>849115</v>
      </c>
      <c r="EY160" s="423">
        <f t="shared" si="92"/>
        <v>1042.5764395254416</v>
      </c>
      <c r="EZ160" s="423">
        <f t="shared" si="81"/>
        <v>2.7527108232688846</v>
      </c>
      <c r="FA160">
        <v>0</v>
      </c>
      <c r="FD160" s="306" t="s">
        <v>669</v>
      </c>
      <c r="FE160" s="306" t="s">
        <v>79</v>
      </c>
      <c r="FF160" s="306">
        <v>51949.691800000001</v>
      </c>
      <c r="FG160" s="306">
        <v>0.2571987468717522</v>
      </c>
      <c r="FH160" s="307">
        <v>849115</v>
      </c>
      <c r="FI160" s="326">
        <f t="shared" si="82"/>
        <v>1042.5764395254416</v>
      </c>
      <c r="FJ160" s="326">
        <f t="shared" si="83"/>
        <v>2.7527108232688846</v>
      </c>
      <c r="FL160" s="101"/>
      <c r="FM160" s="101"/>
      <c r="FN160" s="101"/>
      <c r="FO160" s="101"/>
      <c r="FP160" s="374"/>
      <c r="FQ160" s="405"/>
      <c r="FR160" s="405"/>
    </row>
    <row r="161" spans="142:174">
      <c r="EL161" s="306" t="s">
        <v>669</v>
      </c>
      <c r="EM161" s="306" t="s">
        <v>79</v>
      </c>
      <c r="EN161" s="306">
        <v>51949.691800000001</v>
      </c>
      <c r="EO161" s="306">
        <v>0.2571987468717522</v>
      </c>
      <c r="EP161" s="308">
        <v>849115</v>
      </c>
      <c r="EQ161" s="308">
        <f>VLOOKUP($EL161,$EC$145:$EE$157,2,FALSE)*$EO161</f>
        <v>794.28792796203936</v>
      </c>
      <c r="ER161" s="308">
        <f>VLOOKUP($EL161,$EC$145:$EE$157,3,FALSE)*$EO161</f>
        <v>2.0971555592491087</v>
      </c>
      <c r="ET161" s="420" t="s">
        <v>669</v>
      </c>
      <c r="EU161" s="420" t="s">
        <v>223</v>
      </c>
      <c r="EV161" s="420">
        <v>40441.3442</v>
      </c>
      <c r="EW161" s="420">
        <v>0.20022184328048706</v>
      </c>
      <c r="EX161" s="421">
        <v>849116</v>
      </c>
      <c r="EY161" s="423">
        <f t="shared" si="92"/>
        <v>771.65072201512123</v>
      </c>
      <c r="EZ161" s="423">
        <f t="shared" si="81"/>
        <v>2.0373866258105093</v>
      </c>
      <c r="FA161">
        <v>0</v>
      </c>
      <c r="FD161" s="306" t="s">
        <v>669</v>
      </c>
      <c r="FE161" s="306" t="s">
        <v>223</v>
      </c>
      <c r="FF161" s="306">
        <v>40441.3442</v>
      </c>
      <c r="FG161" s="306">
        <v>0.20022184328048706</v>
      </c>
      <c r="FH161" s="307">
        <v>849116</v>
      </c>
      <c r="FI161" s="326">
        <f t="shared" si="82"/>
        <v>771.65072201512123</v>
      </c>
      <c r="FJ161" s="326">
        <f t="shared" si="83"/>
        <v>2.0373866258105093</v>
      </c>
      <c r="FL161" s="101"/>
      <c r="FM161" s="101"/>
      <c r="FN161" s="101"/>
      <c r="FO161" s="101"/>
      <c r="FP161" s="374"/>
      <c r="FQ161" s="405"/>
      <c r="FR161" s="405"/>
    </row>
    <row r="162" spans="142:174">
      <c r="EL162" s="306" t="s">
        <v>669</v>
      </c>
      <c r="EM162" s="306" t="s">
        <v>223</v>
      </c>
      <c r="EN162" s="306">
        <v>40441.3442</v>
      </c>
      <c r="EO162" s="306">
        <v>0.20022184328048706</v>
      </c>
      <c r="EP162" s="308">
        <v>849116</v>
      </c>
      <c r="EQ162" s="308">
        <f>VLOOKUP($EL162,$EC$145:$EE$157,2,FALSE)*$EO162</f>
        <v>618.33035722875331</v>
      </c>
      <c r="ER162" s="308">
        <f>VLOOKUP($EL162,$EC$145:$EE$157,3,FALSE)*$EO162</f>
        <v>1.6325754181382206</v>
      </c>
      <c r="ET162" s="420" t="s">
        <v>670</v>
      </c>
      <c r="EU162" s="420" t="s">
        <v>570</v>
      </c>
      <c r="EV162" s="420">
        <v>53247.161800000002</v>
      </c>
      <c r="EW162" s="420">
        <v>1</v>
      </c>
      <c r="EX162" s="421">
        <v>849117</v>
      </c>
      <c r="EY162" s="423">
        <f t="shared" si="92"/>
        <v>600.70794204773381</v>
      </c>
      <c r="EZ162" s="423">
        <f t="shared" si="81"/>
        <v>1.5860470187212814</v>
      </c>
      <c r="FA162">
        <v>0</v>
      </c>
      <c r="FD162" s="322" t="s">
        <v>670</v>
      </c>
      <c r="FE162" s="322" t="s">
        <v>570</v>
      </c>
      <c r="FF162" s="322">
        <v>53247.161800000002</v>
      </c>
      <c r="FG162" s="322">
        <v>1</v>
      </c>
      <c r="FH162" s="323">
        <v>849117</v>
      </c>
      <c r="FI162" s="327">
        <f t="shared" si="82"/>
        <v>600.70794204773381</v>
      </c>
      <c r="FJ162" s="327">
        <f t="shared" si="83"/>
        <v>1.5860470187212814</v>
      </c>
      <c r="FL162" s="101"/>
      <c r="FM162" s="101"/>
      <c r="FN162" s="101"/>
      <c r="FO162" s="101"/>
      <c r="FP162" s="374"/>
      <c r="FQ162" s="405"/>
      <c r="FR162" s="405"/>
    </row>
    <row r="163" spans="142:174">
      <c r="EL163" s="322" t="s">
        <v>670</v>
      </c>
      <c r="EM163" s="322" t="s">
        <v>570</v>
      </c>
      <c r="EN163" s="322">
        <v>53247.161800000002</v>
      </c>
      <c r="EO163" s="322">
        <v>1</v>
      </c>
      <c r="EP163" s="323">
        <v>849117</v>
      </c>
      <c r="EQ163" s="324">
        <f>ED150+ED149</f>
        <v>1365.7216139509173</v>
      </c>
      <c r="ER163" s="324">
        <f>EE150+EE149</f>
        <v>3.6059098649938353</v>
      </c>
      <c r="ET163" s="420" t="s">
        <v>13</v>
      </c>
      <c r="EU163" s="420" t="s">
        <v>575</v>
      </c>
      <c r="EV163" s="420">
        <v>8507.8255000000008</v>
      </c>
      <c r="EW163" s="420">
        <v>0.38150552170840318</v>
      </c>
      <c r="EX163" s="421">
        <v>849118</v>
      </c>
      <c r="EY163" s="423">
        <f t="shared" si="92"/>
        <v>1326.7985479533163</v>
      </c>
      <c r="EZ163" s="423">
        <f t="shared" si="81"/>
        <v>3.503141433841511</v>
      </c>
      <c r="FA163">
        <v>0</v>
      </c>
      <c r="FD163" s="306" t="s">
        <v>13</v>
      </c>
      <c r="FE163" s="306" t="s">
        <v>575</v>
      </c>
      <c r="FF163" s="306">
        <v>8507.8255000000008</v>
      </c>
      <c r="FG163" s="306">
        <v>0.38150552170840318</v>
      </c>
      <c r="FH163" s="307">
        <v>849118</v>
      </c>
      <c r="FI163" s="326">
        <f t="shared" si="82"/>
        <v>1326.7985479533163</v>
      </c>
      <c r="FJ163" s="326">
        <f t="shared" si="83"/>
        <v>3.503141433841511</v>
      </c>
      <c r="FL163" s="101"/>
      <c r="FM163" s="101"/>
      <c r="FN163" s="101"/>
      <c r="FO163" s="101"/>
      <c r="FP163" s="374"/>
      <c r="FQ163" s="405"/>
      <c r="FR163" s="405"/>
    </row>
    <row r="164" spans="142:174">
      <c r="EL164" s="306" t="s">
        <v>13</v>
      </c>
      <c r="EM164" s="306" t="s">
        <v>575</v>
      </c>
      <c r="EN164" s="306">
        <v>8507.8255000000008</v>
      </c>
      <c r="EO164" s="306">
        <v>0.38150552170840318</v>
      </c>
      <c r="EP164" s="308">
        <v>849118</v>
      </c>
      <c r="EQ164" s="308">
        <f t="shared" ref="EQ164:EQ180" si="95">VLOOKUP($EL164,$EC$145:$EE$157,2,FALSE)*$EO164</f>
        <v>110.66071298156956</v>
      </c>
      <c r="ER164" s="308">
        <f t="shared" ref="ER164:ER180" si="96">VLOOKUP($EL164,$EC$145:$EE$157,3,FALSE)*$EO164</f>
        <v>0.2921770824532281</v>
      </c>
      <c r="ET164" s="420" t="s">
        <v>13</v>
      </c>
      <c r="EU164" s="420" t="s">
        <v>576</v>
      </c>
      <c r="EV164" s="420">
        <v>5790.3404</v>
      </c>
      <c r="EW164" s="420">
        <v>0.25964881804066664</v>
      </c>
      <c r="EX164" s="421">
        <v>849119</v>
      </c>
      <c r="EY164" s="423">
        <f t="shared" si="92"/>
        <v>107.50688266159483</v>
      </c>
      <c r="EZ164" s="423">
        <f t="shared" si="81"/>
        <v>0.28385003560331112</v>
      </c>
      <c r="FA164">
        <v>0</v>
      </c>
      <c r="FD164" s="306" t="s">
        <v>13</v>
      </c>
      <c r="FE164" s="306" t="s">
        <v>576</v>
      </c>
      <c r="FF164" s="306">
        <v>5790.3404</v>
      </c>
      <c r="FG164" s="306">
        <v>0.25964881804066664</v>
      </c>
      <c r="FH164" s="307">
        <v>849119</v>
      </c>
      <c r="FI164" s="326">
        <f t="shared" si="82"/>
        <v>107.50688266159483</v>
      </c>
      <c r="FJ164" s="326">
        <f t="shared" si="83"/>
        <v>0.28385003560331112</v>
      </c>
      <c r="FL164" s="101"/>
      <c r="FM164" s="101"/>
      <c r="FN164" s="101"/>
      <c r="FO164" s="101"/>
      <c r="FP164" s="374"/>
      <c r="FQ164" s="405"/>
      <c r="FR164" s="405"/>
    </row>
    <row r="165" spans="142:174">
      <c r="EL165" s="306" t="s">
        <v>13</v>
      </c>
      <c r="EM165" s="306" t="s">
        <v>576</v>
      </c>
      <c r="EN165" s="306">
        <v>5790.3404</v>
      </c>
      <c r="EO165" s="306">
        <v>0.25964881804066664</v>
      </c>
      <c r="EP165" s="308">
        <v>849119</v>
      </c>
      <c r="EQ165" s="308">
        <f t="shared" si="95"/>
        <v>75.314567402679643</v>
      </c>
      <c r="ER165" s="308">
        <f t="shared" si="96"/>
        <v>0.19885278141671542</v>
      </c>
      <c r="ET165" s="420" t="s">
        <v>13</v>
      </c>
      <c r="EU165" s="420" t="s">
        <v>382</v>
      </c>
      <c r="EV165" s="420">
        <v>1771.3566000000001</v>
      </c>
      <c r="EW165" s="420">
        <v>7.943067518423165E-2</v>
      </c>
      <c r="EX165" s="421">
        <v>849120</v>
      </c>
      <c r="EY165" s="423">
        <f t="shared" si="92"/>
        <v>73.168102231703273</v>
      </c>
      <c r="EZ165" s="423">
        <f t="shared" si="81"/>
        <v>0.19318547714633905</v>
      </c>
      <c r="FA165">
        <v>0</v>
      </c>
      <c r="FD165" s="306" t="s">
        <v>13</v>
      </c>
      <c r="FE165" s="306" t="s">
        <v>382</v>
      </c>
      <c r="FF165" s="306">
        <v>1771.3566000000001</v>
      </c>
      <c r="FG165" s="306">
        <v>7.943067518423165E-2</v>
      </c>
      <c r="FH165" s="307">
        <v>849120</v>
      </c>
      <c r="FI165" s="326">
        <f t="shared" si="82"/>
        <v>73.168102231703273</v>
      </c>
      <c r="FJ165" s="326">
        <f t="shared" si="83"/>
        <v>0.19318547714633905</v>
      </c>
      <c r="FL165" s="101"/>
      <c r="FM165" s="101"/>
      <c r="FN165" s="101"/>
      <c r="FO165" s="101"/>
      <c r="FP165" s="374"/>
      <c r="FQ165" s="405"/>
      <c r="FR165" s="405"/>
    </row>
    <row r="166" spans="142:174">
      <c r="EL166" s="306" t="s">
        <v>13</v>
      </c>
      <c r="EM166" s="306" t="s">
        <v>382</v>
      </c>
      <c r="EN166" s="306">
        <v>1771.3566000000001</v>
      </c>
      <c r="EO166" s="306">
        <v>7.943067518423165E-2</v>
      </c>
      <c r="EP166" s="308">
        <v>849120</v>
      </c>
      <c r="EQ166" s="308">
        <f t="shared" si="95"/>
        <v>23.039915933937397</v>
      </c>
      <c r="ER166" s="308">
        <f t="shared" si="96"/>
        <v>6.0832207168831781E-2</v>
      </c>
      <c r="ET166" s="420" t="s">
        <v>13</v>
      </c>
      <c r="EU166" s="420" t="s">
        <v>383</v>
      </c>
      <c r="EV166" s="420">
        <v>6231.1390000000001</v>
      </c>
      <c r="EW166" s="420">
        <v>0.2794149850666986</v>
      </c>
      <c r="EX166" s="421">
        <v>849121</v>
      </c>
      <c r="EY166" s="423">
        <f t="shared" si="92"/>
        <v>22.383278329820183</v>
      </c>
      <c r="EZ166" s="423">
        <f t="shared" si="81"/>
        <v>5.9098489264520077E-2</v>
      </c>
      <c r="FA166">
        <v>0</v>
      </c>
      <c r="FD166" s="306" t="s">
        <v>13</v>
      </c>
      <c r="FE166" s="306" t="s">
        <v>383</v>
      </c>
      <c r="FF166" s="306">
        <v>6231.1390000000001</v>
      </c>
      <c r="FG166" s="306">
        <v>0.2794149850666986</v>
      </c>
      <c r="FH166" s="307">
        <v>849121</v>
      </c>
      <c r="FI166" s="326">
        <f t="shared" si="82"/>
        <v>22.383278329820183</v>
      </c>
      <c r="FJ166" s="326">
        <f t="shared" si="83"/>
        <v>5.9098489264520077E-2</v>
      </c>
      <c r="FL166" s="101"/>
      <c r="FM166" s="101"/>
      <c r="FN166" s="101"/>
      <c r="FO166" s="101"/>
      <c r="FP166" s="374"/>
      <c r="FQ166" s="405"/>
      <c r="FR166" s="405"/>
    </row>
    <row r="167" spans="142:174">
      <c r="EL167" s="306" t="s">
        <v>13</v>
      </c>
      <c r="EM167" s="306" t="s">
        <v>383</v>
      </c>
      <c r="EN167" s="306">
        <v>6231.1390000000001</v>
      </c>
      <c r="EO167" s="306">
        <v>0.2794149850666986</v>
      </c>
      <c r="EP167" s="308">
        <v>849121</v>
      </c>
      <c r="EQ167" s="308">
        <f t="shared" si="95"/>
        <v>81.04800508981576</v>
      </c>
      <c r="ER167" s="308">
        <f t="shared" si="96"/>
        <v>0.21399075631964071</v>
      </c>
      <c r="ET167" s="420" t="s">
        <v>301</v>
      </c>
      <c r="EU167" s="420" t="s">
        <v>577</v>
      </c>
      <c r="EV167" s="420">
        <v>11058.6175</v>
      </c>
      <c r="EW167" s="420">
        <v>0.1539041977987548</v>
      </c>
      <c r="EX167" s="421">
        <v>849122</v>
      </c>
      <c r="EY167" s="423">
        <f t="shared" si="92"/>
        <v>78.738136944756008</v>
      </c>
      <c r="EZ167" s="423">
        <f t="shared" si="81"/>
        <v>0.20789201976453095</v>
      </c>
      <c r="FA167">
        <v>0</v>
      </c>
      <c r="FD167" s="306" t="s">
        <v>301</v>
      </c>
      <c r="FE167" s="306" t="s">
        <v>577</v>
      </c>
      <c r="FF167" s="306">
        <v>11058.6175</v>
      </c>
      <c r="FG167" s="306">
        <v>0.1539041977987548</v>
      </c>
      <c r="FH167" s="307">
        <v>849122</v>
      </c>
      <c r="FI167" s="326">
        <f t="shared" si="82"/>
        <v>78.738136944756008</v>
      </c>
      <c r="FJ167" s="326">
        <f t="shared" si="83"/>
        <v>0.20789201976453095</v>
      </c>
      <c r="FL167" s="101"/>
      <c r="FM167" s="101"/>
      <c r="FN167" s="101"/>
      <c r="FO167" s="101"/>
      <c r="FP167" s="374"/>
      <c r="FQ167" s="405"/>
      <c r="FR167" s="405"/>
    </row>
    <row r="168" spans="142:174">
      <c r="EL168" s="306" t="s">
        <v>301</v>
      </c>
      <c r="EM168" s="306" t="s">
        <v>577</v>
      </c>
      <c r="EN168" s="306">
        <v>11058.6175</v>
      </c>
      <c r="EO168" s="306">
        <v>0.1539041977987548</v>
      </c>
      <c r="EP168" s="308">
        <v>849122</v>
      </c>
      <c r="EQ168" s="308">
        <f t="shared" si="95"/>
        <v>783.97137490375246</v>
      </c>
      <c r="ER168" s="308">
        <f t="shared" si="96"/>
        <v>2.0699168013165963</v>
      </c>
      <c r="ET168" s="420" t="s">
        <v>301</v>
      </c>
      <c r="EU168" s="420" t="s">
        <v>103</v>
      </c>
      <c r="EV168" s="420">
        <v>11210.3078</v>
      </c>
      <c r="EW168" s="420">
        <v>0.15601529115516691</v>
      </c>
      <c r="EX168" s="421">
        <v>849123</v>
      </c>
      <c r="EY168" s="423">
        <f t="shared" si="92"/>
        <v>761.6281907189956</v>
      </c>
      <c r="EZ168" s="423">
        <f t="shared" si="81"/>
        <v>2.0109241724790734</v>
      </c>
      <c r="FA168">
        <v>0</v>
      </c>
      <c r="FD168" s="306" t="s">
        <v>301</v>
      </c>
      <c r="FE168" s="306" t="s">
        <v>103</v>
      </c>
      <c r="FF168" s="306">
        <v>11210.3078</v>
      </c>
      <c r="FG168" s="306">
        <v>0.15601529115516691</v>
      </c>
      <c r="FH168" s="307">
        <v>849123</v>
      </c>
      <c r="FI168" s="326">
        <f t="shared" si="82"/>
        <v>761.6281907189956</v>
      </c>
      <c r="FJ168" s="326">
        <f t="shared" si="83"/>
        <v>2.0109241724790734</v>
      </c>
      <c r="FL168" s="101"/>
      <c r="FM168" s="101"/>
      <c r="FN168" s="101"/>
      <c r="FO168" s="101"/>
      <c r="FP168" s="374"/>
      <c r="FQ168" s="405"/>
      <c r="FR168" s="405"/>
    </row>
    <row r="169" spans="142:174">
      <c r="EL169" s="306" t="s">
        <v>301</v>
      </c>
      <c r="EM169" s="306" t="s">
        <v>103</v>
      </c>
      <c r="EN169" s="306">
        <v>11210.3078</v>
      </c>
      <c r="EO169" s="306">
        <v>0.15601529115516691</v>
      </c>
      <c r="EP169" s="308">
        <v>849123</v>
      </c>
      <c r="EQ169" s="308">
        <f t="shared" si="95"/>
        <v>794.72505664114533</v>
      </c>
      <c r="ER169" s="308">
        <f t="shared" si="96"/>
        <v>2.0983097085282578</v>
      </c>
      <c r="ET169" s="420" t="s">
        <v>301</v>
      </c>
      <c r="EU169" s="420" t="s">
        <v>104</v>
      </c>
      <c r="EV169" s="420">
        <v>10719.050499999999</v>
      </c>
      <c r="EW169" s="420">
        <v>0.14917840031693305</v>
      </c>
      <c r="EX169" s="421">
        <v>849124</v>
      </c>
      <c r="EY169" s="423">
        <f t="shared" si="92"/>
        <v>772.07539252687275</v>
      </c>
      <c r="EZ169" s="423">
        <f t="shared" si="81"/>
        <v>2.0385078818352027</v>
      </c>
      <c r="FA169">
        <v>0</v>
      </c>
      <c r="FD169" s="306" t="s">
        <v>301</v>
      </c>
      <c r="FE169" s="306" t="s">
        <v>104</v>
      </c>
      <c r="FF169" s="306">
        <v>10719.050499999999</v>
      </c>
      <c r="FG169" s="306">
        <v>0.14917840031693305</v>
      </c>
      <c r="FH169" s="307">
        <v>849124</v>
      </c>
      <c r="FI169" s="326">
        <f t="shared" si="82"/>
        <v>772.07539252687275</v>
      </c>
      <c r="FJ169" s="326">
        <f t="shared" si="83"/>
        <v>2.0385078818352027</v>
      </c>
      <c r="FL169" s="101"/>
      <c r="FM169" s="101"/>
      <c r="FN169" s="101"/>
      <c r="FO169" s="101"/>
      <c r="FP169" s="374"/>
      <c r="FQ169" s="405"/>
      <c r="FR169" s="405"/>
    </row>
    <row r="170" spans="142:174">
      <c r="EL170" s="306" t="s">
        <v>301</v>
      </c>
      <c r="EM170" s="306" t="s">
        <v>104</v>
      </c>
      <c r="EN170" s="306">
        <v>10719.050499999999</v>
      </c>
      <c r="EO170" s="306">
        <v>0.14917840031693305</v>
      </c>
      <c r="EP170" s="308">
        <v>849124</v>
      </c>
      <c r="EQ170" s="308">
        <f t="shared" si="95"/>
        <v>759.89867251921441</v>
      </c>
      <c r="ER170" s="308">
        <f t="shared" si="96"/>
        <v>2.0063577317970402</v>
      </c>
      <c r="ET170" s="420" t="s">
        <v>301</v>
      </c>
      <c r="EU170" s="420" t="s">
        <v>117</v>
      </c>
      <c r="EV170" s="420">
        <v>25550.6122</v>
      </c>
      <c r="EW170" s="420">
        <v>0.35559114635333733</v>
      </c>
      <c r="EX170" s="421">
        <v>849125</v>
      </c>
      <c r="EY170" s="423">
        <f t="shared" si="92"/>
        <v>738.24156035241685</v>
      </c>
      <c r="EZ170" s="423">
        <f t="shared" si="81"/>
        <v>1.9491765364408247</v>
      </c>
      <c r="FA170">
        <v>0</v>
      </c>
      <c r="FD170" s="306" t="s">
        <v>301</v>
      </c>
      <c r="FE170" s="306" t="s">
        <v>117</v>
      </c>
      <c r="FF170" s="306">
        <v>25550.6122</v>
      </c>
      <c r="FG170" s="306">
        <v>0.35559114635333733</v>
      </c>
      <c r="FH170" s="307">
        <v>849125</v>
      </c>
      <c r="FI170" s="326">
        <f t="shared" si="82"/>
        <v>738.24156035241685</v>
      </c>
      <c r="FJ170" s="326">
        <f t="shared" si="83"/>
        <v>1.9491765364408247</v>
      </c>
      <c r="FL170" s="101"/>
      <c r="FM170" s="101"/>
      <c r="FN170" s="101"/>
      <c r="FO170" s="101"/>
      <c r="FP170" s="374"/>
      <c r="FQ170" s="405"/>
      <c r="FR170" s="405"/>
    </row>
    <row r="171" spans="142:174">
      <c r="EL171" s="306" t="s">
        <v>301</v>
      </c>
      <c r="EM171" s="306" t="s">
        <v>117</v>
      </c>
      <c r="EN171" s="306">
        <v>25550.6122</v>
      </c>
      <c r="EO171" s="306">
        <v>0.35559114635333733</v>
      </c>
      <c r="EP171" s="308">
        <v>849125</v>
      </c>
      <c r="EQ171" s="308">
        <f t="shared" si="95"/>
        <v>1811.3429256474951</v>
      </c>
      <c r="ER171" s="308">
        <f t="shared" si="96"/>
        <v>4.7824822114251431</v>
      </c>
      <c r="ET171" s="420" t="s">
        <v>301</v>
      </c>
      <c r="EU171" s="420" t="s">
        <v>118</v>
      </c>
      <c r="EV171" s="420">
        <v>13315.3163</v>
      </c>
      <c r="EW171" s="420">
        <v>0.18531096437580774</v>
      </c>
      <c r="EX171" s="421">
        <v>849126</v>
      </c>
      <c r="EY171" s="423">
        <f t="shared" si="92"/>
        <v>1759.7196522665415</v>
      </c>
      <c r="EZ171" s="423">
        <f t="shared" si="81"/>
        <v>4.6461814683995266</v>
      </c>
      <c r="FA171">
        <v>0</v>
      </c>
      <c r="FD171" s="306" t="s">
        <v>301</v>
      </c>
      <c r="FE171" s="306" t="s">
        <v>118</v>
      </c>
      <c r="FF171" s="306">
        <v>13315.3163</v>
      </c>
      <c r="FG171" s="306">
        <v>0.18531096437580774</v>
      </c>
      <c r="FH171" s="307">
        <v>849126</v>
      </c>
      <c r="FI171" s="326">
        <f t="shared" si="82"/>
        <v>1759.7196522665415</v>
      </c>
      <c r="FJ171" s="326">
        <f t="shared" si="83"/>
        <v>4.6461814683995266</v>
      </c>
      <c r="FL171" s="101"/>
      <c r="FM171" s="101"/>
      <c r="FN171" s="101"/>
      <c r="FO171" s="101"/>
      <c r="FP171" s="374"/>
      <c r="FQ171" s="405"/>
      <c r="FR171" s="405"/>
    </row>
    <row r="172" spans="142:174">
      <c r="EL172" s="306" t="s">
        <v>301</v>
      </c>
      <c r="EM172" s="306" t="s">
        <v>118</v>
      </c>
      <c r="EN172" s="306">
        <v>13315.3163</v>
      </c>
      <c r="EO172" s="306">
        <v>0.18531096437580774</v>
      </c>
      <c r="EP172" s="308">
        <v>849126</v>
      </c>
      <c r="EQ172" s="308">
        <f t="shared" si="95"/>
        <v>943.95405456327126</v>
      </c>
      <c r="ER172" s="308">
        <f t="shared" si="96"/>
        <v>2.4923184949849957</v>
      </c>
      <c r="ET172" s="420" t="s">
        <v>302</v>
      </c>
      <c r="EU172" s="420" t="s">
        <v>579</v>
      </c>
      <c r="EV172" s="420">
        <v>15739.680700000001</v>
      </c>
      <c r="EW172" s="420">
        <v>0.310763615277375</v>
      </c>
      <c r="EX172" s="421">
        <v>849127</v>
      </c>
      <c r="EY172" s="423">
        <f t="shared" si="92"/>
        <v>917.051364008218</v>
      </c>
      <c r="EZ172" s="423">
        <f t="shared" si="81"/>
        <v>2.4212874178779233</v>
      </c>
      <c r="FA172">
        <v>0</v>
      </c>
      <c r="FD172" s="306" t="s">
        <v>302</v>
      </c>
      <c r="FE172" s="306" t="s">
        <v>579</v>
      </c>
      <c r="FF172" s="306">
        <v>15739.680700000001</v>
      </c>
      <c r="FG172" s="306">
        <v>0.310763615277375</v>
      </c>
      <c r="FH172" s="307">
        <v>849127</v>
      </c>
      <c r="FI172" s="326">
        <f t="shared" si="82"/>
        <v>917.051364008218</v>
      </c>
      <c r="FJ172" s="326">
        <f t="shared" si="83"/>
        <v>2.4212874178779233</v>
      </c>
      <c r="FL172" s="101"/>
      <c r="FM172" s="101"/>
      <c r="FN172" s="101"/>
      <c r="FO172" s="101"/>
      <c r="FP172" s="374"/>
      <c r="FQ172" s="405"/>
      <c r="FR172" s="405"/>
    </row>
    <row r="173" spans="142:174">
      <c r="EL173" s="306" t="s">
        <v>302</v>
      </c>
      <c r="EM173" s="306" t="s">
        <v>579</v>
      </c>
      <c r="EN173" s="306">
        <v>15739.680700000001</v>
      </c>
      <c r="EO173" s="306">
        <v>0.310763615277375</v>
      </c>
      <c r="EP173" s="308">
        <v>849127</v>
      </c>
      <c r="EQ173" s="308">
        <f t="shared" si="95"/>
        <v>18.864181556478766</v>
      </c>
      <c r="ER173" s="308">
        <f t="shared" si="96"/>
        <v>4.9807030711594348E-2</v>
      </c>
      <c r="ET173" s="420" t="s">
        <v>302</v>
      </c>
      <c r="EU173" s="420" t="s">
        <v>580</v>
      </c>
      <c r="EV173" s="420">
        <v>34908.721899999997</v>
      </c>
      <c r="EW173" s="420">
        <v>0.68923638472262494</v>
      </c>
      <c r="EX173" s="421">
        <v>849128</v>
      </c>
      <c r="EY173" s="423">
        <f t="shared" si="92"/>
        <v>18.326552382119122</v>
      </c>
      <c r="EZ173" s="423">
        <f t="shared" si="81"/>
        <v>4.8387530336313912E-2</v>
      </c>
      <c r="FA173">
        <v>0</v>
      </c>
      <c r="FD173" s="306" t="s">
        <v>302</v>
      </c>
      <c r="FE173" s="306" t="s">
        <v>580</v>
      </c>
      <c r="FF173" s="306">
        <v>34908.721899999997</v>
      </c>
      <c r="FG173" s="306">
        <v>0.68923638472262494</v>
      </c>
      <c r="FH173" s="307">
        <v>849128</v>
      </c>
      <c r="FI173" s="326">
        <f t="shared" si="82"/>
        <v>18.326552382119122</v>
      </c>
      <c r="FJ173" s="326">
        <f t="shared" si="83"/>
        <v>4.8387530336313912E-2</v>
      </c>
      <c r="FL173" s="101"/>
      <c r="FM173" s="101"/>
      <c r="FN173" s="101"/>
      <c r="FO173" s="101"/>
      <c r="FP173" s="374"/>
      <c r="FQ173" s="405"/>
      <c r="FR173" s="405"/>
    </row>
    <row r="174" spans="142:174">
      <c r="EL174" s="306" t="s">
        <v>302</v>
      </c>
      <c r="EM174" s="306" t="s">
        <v>580</v>
      </c>
      <c r="EN174" s="306">
        <v>34908.721899999997</v>
      </c>
      <c r="EO174" s="306">
        <v>0.68923638472262494</v>
      </c>
      <c r="EP174" s="308">
        <v>849128</v>
      </c>
      <c r="EQ174" s="308">
        <f t="shared" si="95"/>
        <v>41.838489635067781</v>
      </c>
      <c r="ER174" s="308">
        <f t="shared" si="96"/>
        <v>0.1104660136959326</v>
      </c>
      <c r="ET174" s="420" t="s">
        <v>303</v>
      </c>
      <c r="EU174" s="420" t="s">
        <v>582</v>
      </c>
      <c r="EV174" s="420">
        <v>4662.5794999999998</v>
      </c>
      <c r="EW174" s="420">
        <v>1</v>
      </c>
      <c r="EX174" s="421">
        <v>849129</v>
      </c>
      <c r="EY174" s="423">
        <f t="shared" si="92"/>
        <v>40.64609268046835</v>
      </c>
      <c r="EZ174" s="423">
        <f t="shared" si="81"/>
        <v>0.10731773230559853</v>
      </c>
      <c r="FA174">
        <v>0</v>
      </c>
      <c r="FD174" s="306" t="s">
        <v>303</v>
      </c>
      <c r="FE174" s="306" t="s">
        <v>582</v>
      </c>
      <c r="FF174" s="306">
        <v>4662.5794999999998</v>
      </c>
      <c r="FG174" s="306">
        <v>1</v>
      </c>
      <c r="FH174" s="307">
        <v>849129</v>
      </c>
      <c r="FI174" s="326">
        <f t="shared" si="82"/>
        <v>40.64609268046835</v>
      </c>
      <c r="FJ174" s="326">
        <f t="shared" si="83"/>
        <v>0.10731773230559853</v>
      </c>
      <c r="FL174" s="101"/>
      <c r="FM174" s="101"/>
      <c r="FN174" s="101"/>
      <c r="FO174" s="101"/>
      <c r="FP174" s="374"/>
      <c r="FQ174" s="405"/>
      <c r="FR174" s="405"/>
    </row>
    <row r="175" spans="142:174">
      <c r="EL175" s="306" t="s">
        <v>303</v>
      </c>
      <c r="EM175" s="306" t="s">
        <v>582</v>
      </c>
      <c r="EN175" s="306">
        <v>4662.5794999999998</v>
      </c>
      <c r="EO175" s="306">
        <v>1</v>
      </c>
      <c r="EP175" s="308">
        <v>849129</v>
      </c>
      <c r="EQ175" s="308">
        <f t="shared" si="95"/>
        <v>107.42426068008386</v>
      </c>
      <c r="ER175" s="308">
        <f t="shared" si="96"/>
        <v>0.28363188908270809</v>
      </c>
      <c r="ET175" s="420" t="s">
        <v>304</v>
      </c>
      <c r="EU175" s="420" t="s">
        <v>584</v>
      </c>
      <c r="EV175" s="420">
        <v>1500.06</v>
      </c>
      <c r="EW175" s="420">
        <v>0.43611638887745335</v>
      </c>
      <c r="EX175" s="421">
        <v>849130</v>
      </c>
      <c r="EY175" s="423">
        <f t="shared" si="92"/>
        <v>104.36266925070147</v>
      </c>
      <c r="EZ175" s="423">
        <f t="shared" si="81"/>
        <v>0.27554838024385092</v>
      </c>
      <c r="FA175">
        <v>0</v>
      </c>
      <c r="FD175" s="306" t="s">
        <v>304</v>
      </c>
      <c r="FE175" s="306" t="s">
        <v>584</v>
      </c>
      <c r="FF175" s="306">
        <v>1500.06</v>
      </c>
      <c r="FG175" s="306">
        <v>0.43611638887745335</v>
      </c>
      <c r="FH175" s="307">
        <v>849130</v>
      </c>
      <c r="FI175" s="326">
        <f t="shared" si="82"/>
        <v>104.36266925070147</v>
      </c>
      <c r="FJ175" s="326">
        <f t="shared" si="83"/>
        <v>0.27554838024385092</v>
      </c>
      <c r="FL175" s="101"/>
      <c r="FM175" s="101"/>
      <c r="FN175" s="101"/>
      <c r="FO175" s="101"/>
      <c r="FP175" s="374"/>
      <c r="FQ175" s="405"/>
      <c r="FR175" s="405"/>
    </row>
    <row r="176" spans="142:174">
      <c r="EL176" s="306" t="s">
        <v>304</v>
      </c>
      <c r="EM176" s="306" t="s">
        <v>584</v>
      </c>
      <c r="EN176" s="306">
        <v>1500.06</v>
      </c>
      <c r="EO176" s="306">
        <v>0.43611638887745335</v>
      </c>
      <c r="EP176" s="308">
        <v>849130</v>
      </c>
      <c r="EQ176" s="308">
        <f t="shared" si="95"/>
        <v>4.322192613105746</v>
      </c>
      <c r="ER176" s="308">
        <f t="shared" si="96"/>
        <v>1.1411869610025532E-2</v>
      </c>
      <c r="ET176" s="420" t="s">
        <v>304</v>
      </c>
      <c r="EU176" s="420" t="s">
        <v>393</v>
      </c>
      <c r="EV176" s="420">
        <v>1939.5264</v>
      </c>
      <c r="EW176" s="420">
        <v>0.56388361112254659</v>
      </c>
      <c r="EX176" s="421">
        <v>849131</v>
      </c>
      <c r="EY176" s="423">
        <f t="shared" si="92"/>
        <v>4.1990101236322319</v>
      </c>
      <c r="EZ176" s="423">
        <f t="shared" si="81"/>
        <v>1.1086631326139804E-2</v>
      </c>
      <c r="FA176">
        <v>0</v>
      </c>
      <c r="FD176" s="306" t="s">
        <v>304</v>
      </c>
      <c r="FE176" s="306" t="s">
        <v>393</v>
      </c>
      <c r="FF176" s="306">
        <v>1939.5264</v>
      </c>
      <c r="FG176" s="306">
        <v>0.56388361112254659</v>
      </c>
      <c r="FH176" s="307">
        <v>849131</v>
      </c>
      <c r="FI176" s="326">
        <f t="shared" si="82"/>
        <v>4.1990101236322319</v>
      </c>
      <c r="FJ176" s="326">
        <f t="shared" si="83"/>
        <v>1.1086631326139804E-2</v>
      </c>
      <c r="FL176" s="101"/>
      <c r="FM176" s="101"/>
      <c r="FN176" s="101"/>
      <c r="FO176" s="101"/>
      <c r="FP176" s="374"/>
      <c r="FQ176" s="405"/>
      <c r="FR176" s="405"/>
    </row>
    <row r="177" spans="142:174">
      <c r="EL177" s="306" t="s">
        <v>304</v>
      </c>
      <c r="EM177" s="306" t="s">
        <v>393</v>
      </c>
      <c r="EN177" s="306">
        <v>1939.5264</v>
      </c>
      <c r="EO177" s="306">
        <v>0.56388361112254659</v>
      </c>
      <c r="EP177" s="308">
        <v>849131</v>
      </c>
      <c r="EQ177" s="308">
        <f t="shared" si="95"/>
        <v>5.5884475814324635</v>
      </c>
      <c r="ER177" s="308">
        <f t="shared" si="96"/>
        <v>1.4755158048346217E-2</v>
      </c>
      <c r="ET177" s="420" t="s">
        <v>305</v>
      </c>
      <c r="EU177" s="420" t="s">
        <v>679</v>
      </c>
      <c r="EV177" s="420">
        <v>2026.3647000000001</v>
      </c>
      <c r="EW177" s="420">
        <v>1</v>
      </c>
      <c r="EX177" s="421">
        <v>849132</v>
      </c>
      <c r="EY177" s="423">
        <f t="shared" si="92"/>
        <v>5.4291768253616386</v>
      </c>
      <c r="EZ177" s="423">
        <f t="shared" si="81"/>
        <v>1.4334636043968349E-2</v>
      </c>
      <c r="FA177">
        <v>0</v>
      </c>
      <c r="FD177" s="306" t="s">
        <v>305</v>
      </c>
      <c r="FE177" s="306" t="s">
        <v>679</v>
      </c>
      <c r="FF177" s="306">
        <v>2026.3647000000001</v>
      </c>
      <c r="FG177" s="306">
        <v>1</v>
      </c>
      <c r="FH177" s="307">
        <v>849132</v>
      </c>
      <c r="FI177" s="326">
        <f t="shared" si="82"/>
        <v>5.4291768253616386</v>
      </c>
      <c r="FJ177" s="326">
        <f t="shared" si="83"/>
        <v>1.4334636043968349E-2</v>
      </c>
      <c r="FL177" s="101"/>
      <c r="FM177" s="101"/>
      <c r="FN177" s="101"/>
      <c r="FO177" s="101"/>
      <c r="FP177" s="374"/>
      <c r="FQ177" s="405"/>
      <c r="FR177" s="405"/>
    </row>
    <row r="178" spans="142:174">
      <c r="EL178" s="306" t="s">
        <v>305</v>
      </c>
      <c r="EM178" s="306" t="s">
        <v>679</v>
      </c>
      <c r="EN178" s="306">
        <v>2026.3647000000001</v>
      </c>
      <c r="EO178" s="306">
        <v>1</v>
      </c>
      <c r="EP178" s="308">
        <v>849132</v>
      </c>
      <c r="EQ178" s="308">
        <f t="shared" si="95"/>
        <v>30.616799172412694</v>
      </c>
      <c r="ER178" s="308">
        <f t="shared" si="96"/>
        <v>8.0837424730327012E-2</v>
      </c>
      <c r="ET178" s="420" t="s">
        <v>47</v>
      </c>
      <c r="EU178" s="420" t="s">
        <v>680</v>
      </c>
      <c r="EV178" s="420">
        <v>41993.0622</v>
      </c>
      <c r="EW178" s="420">
        <v>0.3967757985704885</v>
      </c>
      <c r="EX178" s="421">
        <v>849133</v>
      </c>
      <c r="EY178" s="423">
        <f t="shared" si="92"/>
        <v>29.744220395998934</v>
      </c>
      <c r="EZ178" s="423">
        <f t="shared" si="81"/>
        <v>7.8533558125512701E-2</v>
      </c>
      <c r="FA178">
        <v>0</v>
      </c>
      <c r="FD178" s="306" t="s">
        <v>47</v>
      </c>
      <c r="FE178" s="306" t="s">
        <v>680</v>
      </c>
      <c r="FF178" s="306">
        <v>41993.0622</v>
      </c>
      <c r="FG178" s="306">
        <v>0.3967757985704885</v>
      </c>
      <c r="FH178" s="307">
        <v>849133</v>
      </c>
      <c r="FI178" s="326">
        <f t="shared" si="82"/>
        <v>29.744220395998934</v>
      </c>
      <c r="FJ178" s="326">
        <f t="shared" si="83"/>
        <v>7.8533558125512701E-2</v>
      </c>
      <c r="FL178" s="101"/>
      <c r="FM178" s="101"/>
      <c r="FN178" s="101"/>
      <c r="FO178" s="101"/>
      <c r="FP178" s="374"/>
      <c r="FQ178" s="405"/>
      <c r="FR178" s="405"/>
    </row>
    <row r="179" spans="142:174">
      <c r="EL179" s="306" t="s">
        <v>47</v>
      </c>
      <c r="EM179" s="306" t="s">
        <v>680</v>
      </c>
      <c r="EN179" s="306">
        <v>41993.0622</v>
      </c>
      <c r="EO179" s="306">
        <v>0.3967757985704885</v>
      </c>
      <c r="EP179" s="308">
        <v>849133</v>
      </c>
      <c r="EQ179" s="308">
        <f t="shared" si="95"/>
        <v>1052.5228096256672</v>
      </c>
      <c r="ER179" s="308">
        <f t="shared" si="96"/>
        <v>2.778972188468726</v>
      </c>
      <c r="ET179" s="420" t="s">
        <v>47</v>
      </c>
      <c r="EU179" s="420" t="s">
        <v>398</v>
      </c>
      <c r="EV179" s="420">
        <v>63842.682699999998</v>
      </c>
      <c r="EW179" s="420">
        <v>0.60322420142951161</v>
      </c>
      <c r="EX179" s="421">
        <v>849134</v>
      </c>
      <c r="EY179" s="423">
        <f t="shared" si="92"/>
        <v>1022.5259095513356</v>
      </c>
      <c r="EZ179" s="423">
        <f t="shared" si="81"/>
        <v>2.6997714810973674</v>
      </c>
      <c r="FA179">
        <v>0</v>
      </c>
      <c r="FD179" s="306" t="s">
        <v>47</v>
      </c>
      <c r="FE179" s="306" t="s">
        <v>398</v>
      </c>
      <c r="FF179" s="306">
        <v>63842.682699999998</v>
      </c>
      <c r="FG179" s="306">
        <v>0.60322420142951161</v>
      </c>
      <c r="FH179" s="307">
        <v>849134</v>
      </c>
      <c r="FI179" s="326">
        <f t="shared" si="82"/>
        <v>1022.5259095513356</v>
      </c>
      <c r="FJ179" s="326">
        <f t="shared" si="83"/>
        <v>2.6997714810973674</v>
      </c>
      <c r="FL179" s="101"/>
      <c r="FM179" s="101"/>
      <c r="FN179" s="101"/>
      <c r="FO179" s="101"/>
      <c r="FP179" s="374"/>
      <c r="FQ179" s="405"/>
      <c r="FR179" s="405"/>
    </row>
    <row r="180" spans="142:174">
      <c r="EL180" s="306" t="s">
        <v>47</v>
      </c>
      <c r="EM180" s="306" t="s">
        <v>398</v>
      </c>
      <c r="EN180" s="306">
        <v>63842.682699999998</v>
      </c>
      <c r="EO180" s="306">
        <v>0.60322420142951161</v>
      </c>
      <c r="EP180" s="308">
        <v>849134</v>
      </c>
      <c r="EQ180" s="308">
        <f t="shared" si="95"/>
        <v>1600.1662238731419</v>
      </c>
      <c r="ER180" s="308">
        <f t="shared" si="96"/>
        <v>4.2249131253050995</v>
      </c>
      <c r="EY180" s="431">
        <f>EY181-VLOOKUP($EV$181,장항공공주택지구_통행량제외분!$J$12:$P$18,3,FALSE)</f>
        <v>9153.3390709557898</v>
      </c>
      <c r="EZ180" s="431">
        <f>EZ181-VLOOKUP($EV$138,장항공공주택지구_통행량제외분!$J$12:$P$18,5,FALSE)</f>
        <v>26.829294401374042</v>
      </c>
      <c r="FI180" s="310">
        <f>SUM(FI146:FI179)</f>
        <v>14954.113942876829</v>
      </c>
      <c r="FJ180" s="310">
        <f>SUM(FJ146:FJ179)</f>
        <v>39.492062536095496</v>
      </c>
      <c r="FP180" s="277"/>
      <c r="FQ180" s="310"/>
      <c r="FR180" s="310"/>
    </row>
    <row r="181" spans="142:174">
      <c r="EQ181" s="310">
        <f>SUM(EQ146:EQ180)</f>
        <v>16992.97522323169</v>
      </c>
      <c r="ER181" s="310">
        <f>SUM(ER146:ER180)</f>
        <v>44.875517897405459</v>
      </c>
      <c r="EV181" s="432">
        <f>기준년도설정!B1</f>
        <v>2045</v>
      </c>
      <c r="EY181" s="310">
        <f>SUM(EY146:EY179)</f>
        <v>14954.113942876829</v>
      </c>
      <c r="EZ181" s="310">
        <f>SUM(EZ146:EZ179)</f>
        <v>39.492062536095496</v>
      </c>
      <c r="FH181" s="277"/>
    </row>
    <row r="182" spans="142:174">
      <c r="FA182" s="277"/>
    </row>
    <row r="183" spans="142:174">
      <c r="FA183" s="277"/>
    </row>
    <row r="184" spans="142:174">
      <c r="FA184" s="277"/>
    </row>
    <row r="185" spans="142:174">
      <c r="FA185" s="277"/>
    </row>
    <row r="186" spans="142:174">
      <c r="FA186" s="277"/>
    </row>
    <row r="187" spans="142:174">
      <c r="FA187" s="277"/>
    </row>
    <row r="188" spans="142:174">
      <c r="FA188" s="277"/>
    </row>
  </sheetData>
  <mergeCells count="150">
    <mergeCell ref="A10:B10"/>
    <mergeCell ref="A11:A12"/>
    <mergeCell ref="A17:E18"/>
    <mergeCell ref="F17:H17"/>
    <mergeCell ref="L17:L18"/>
    <mergeCell ref="O17:O21"/>
    <mergeCell ref="AY18:AZ19"/>
    <mergeCell ref="A19:A36"/>
    <mergeCell ref="B19:E19"/>
    <mergeCell ref="P19:S19"/>
    <mergeCell ref="T19:U19"/>
    <mergeCell ref="X19:AA19"/>
    <mergeCell ref="AB19:AC19"/>
    <mergeCell ref="AK19:AN19"/>
    <mergeCell ref="P17:W17"/>
    <mergeCell ref="X17:AE17"/>
    <mergeCell ref="AJ17:AJ21"/>
    <mergeCell ref="AK17:AR17"/>
    <mergeCell ref="AS17:AZ17"/>
    <mergeCell ref="P18:U18"/>
    <mergeCell ref="V18:W19"/>
    <mergeCell ref="X18:AC18"/>
    <mergeCell ref="AD18:AE19"/>
    <mergeCell ref="AK18:AP18"/>
    <mergeCell ref="AO19:AP19"/>
    <mergeCell ref="AS19:AV19"/>
    <mergeCell ref="AW19:AX19"/>
    <mergeCell ref="C20:E20"/>
    <mergeCell ref="S20:S21"/>
    <mergeCell ref="T20:T21"/>
    <mergeCell ref="U20:U21"/>
    <mergeCell ref="V20:V21"/>
    <mergeCell ref="W20:W21"/>
    <mergeCell ref="AA20:AA21"/>
    <mergeCell ref="AQ18:AR19"/>
    <mergeCell ref="AS18:AX18"/>
    <mergeCell ref="C30:E30"/>
    <mergeCell ref="C31:E31"/>
    <mergeCell ref="C32:E32"/>
    <mergeCell ref="C33:E33"/>
    <mergeCell ref="C34:E34"/>
    <mergeCell ref="C35:E35"/>
    <mergeCell ref="AY20:AY21"/>
    <mergeCell ref="AZ20:AZ21"/>
    <mergeCell ref="D21:E21"/>
    <mergeCell ref="D22:E22"/>
    <mergeCell ref="D23:E23"/>
    <mergeCell ref="D24:D26"/>
    <mergeCell ref="AP20:AP21"/>
    <mergeCell ref="AQ20:AQ21"/>
    <mergeCell ref="AR20:AR21"/>
    <mergeCell ref="AV20:AV21"/>
    <mergeCell ref="AW20:AW21"/>
    <mergeCell ref="AX20:AX21"/>
    <mergeCell ref="AB20:AB21"/>
    <mergeCell ref="AC20:AC21"/>
    <mergeCell ref="AD20:AD21"/>
    <mergeCell ref="AE20:AE21"/>
    <mergeCell ref="AN20:AN21"/>
    <mergeCell ref="AO20:AO21"/>
    <mergeCell ref="AC35:AG35"/>
    <mergeCell ref="C36:E36"/>
    <mergeCell ref="AC36:AC43"/>
    <mergeCell ref="A37:A54"/>
    <mergeCell ref="B37:E37"/>
    <mergeCell ref="C38:E38"/>
    <mergeCell ref="D39:E39"/>
    <mergeCell ref="AF39:AG39"/>
    <mergeCell ref="D40:E40"/>
    <mergeCell ref="AF40:AG40"/>
    <mergeCell ref="D41:E41"/>
    <mergeCell ref="AF41:AG41"/>
    <mergeCell ref="D42:D44"/>
    <mergeCell ref="AD42:AE43"/>
    <mergeCell ref="AF42:AG42"/>
    <mergeCell ref="AF43:AG43"/>
    <mergeCell ref="AC44:AC51"/>
    <mergeCell ref="AF47:AG47"/>
    <mergeCell ref="C48:E48"/>
    <mergeCell ref="AF48:AG48"/>
    <mergeCell ref="C52:E52"/>
    <mergeCell ref="C53:E53"/>
    <mergeCell ref="C54:E54"/>
    <mergeCell ref="A59:E60"/>
    <mergeCell ref="C49:E49"/>
    <mergeCell ref="AF49:AG49"/>
    <mergeCell ref="C50:E50"/>
    <mergeCell ref="AD50:AE51"/>
    <mergeCell ref="AF50:AG50"/>
    <mergeCell ref="C51:E51"/>
    <mergeCell ref="AF51:AG51"/>
    <mergeCell ref="F59:H59"/>
    <mergeCell ref="L59:L60"/>
    <mergeCell ref="A77:E78"/>
    <mergeCell ref="C72:E72"/>
    <mergeCell ref="C70:E70"/>
    <mergeCell ref="C71:E71"/>
    <mergeCell ref="C68:E68"/>
    <mergeCell ref="C69:E69"/>
    <mergeCell ref="C66:E66"/>
    <mergeCell ref="C67:E67"/>
    <mergeCell ref="D61:E61"/>
    <mergeCell ref="D62:D63"/>
    <mergeCell ref="C86:E86"/>
    <mergeCell ref="C87:E87"/>
    <mergeCell ref="C84:E84"/>
    <mergeCell ref="C85:E85"/>
    <mergeCell ref="C90:E90"/>
    <mergeCell ref="C88:E88"/>
    <mergeCell ref="C89:E89"/>
    <mergeCell ref="D79:E79"/>
    <mergeCell ref="D80:D81"/>
    <mergeCell ref="F77:H77"/>
    <mergeCell ref="L77:L78"/>
    <mergeCell ref="Q59:U60"/>
    <mergeCell ref="V59:X59"/>
    <mergeCell ref="AB59:AB60"/>
    <mergeCell ref="Q77:U78"/>
    <mergeCell ref="V77:X77"/>
    <mergeCell ref="AB77:AB78"/>
    <mergeCell ref="DJ101:DM101"/>
    <mergeCell ref="BC101:BP101"/>
    <mergeCell ref="BQ101:CD101"/>
    <mergeCell ref="CE101:CR101"/>
    <mergeCell ref="CX101:DA101"/>
    <mergeCell ref="DB101:DE101"/>
    <mergeCell ref="DF101:DI101"/>
    <mergeCell ref="EP158:EP159"/>
    <mergeCell ref="ED144:EE144"/>
    <mergeCell ref="DY144:DZ144"/>
    <mergeCell ref="DR144:DU144"/>
    <mergeCell ref="DN144:DQ144"/>
    <mergeCell ref="DJ144:DM144"/>
    <mergeCell ref="DF144:DI144"/>
    <mergeCell ref="DB144:DE144"/>
    <mergeCell ref="CX144:DA144"/>
    <mergeCell ref="CE144:CR144"/>
    <mergeCell ref="BQ144:CD144"/>
    <mergeCell ref="BC144:BP144"/>
    <mergeCell ref="AO144:BB144"/>
    <mergeCell ref="AA144:AN144"/>
    <mergeCell ref="M144:Z144"/>
    <mergeCell ref="EP115:EP116"/>
    <mergeCell ref="AO101:BB101"/>
    <mergeCell ref="AA101:AN101"/>
    <mergeCell ref="M101:Z101"/>
    <mergeCell ref="DN101:DQ101"/>
    <mergeCell ref="DR101:DU101"/>
    <mergeCell ref="DY101:DZ101"/>
    <mergeCell ref="ED101:EE10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K190"/>
  <sheetViews>
    <sheetView topLeftCell="A4" zoomScale="85" zoomScaleNormal="85" workbookViewId="0">
      <selection activeCell="F46" sqref="F46"/>
    </sheetView>
  </sheetViews>
  <sheetFormatPr defaultRowHeight="17"/>
  <cols>
    <col min="1" max="1" width="9.5" bestFit="1" customWidth="1"/>
    <col min="3" max="4" width="11.1640625" bestFit="1" customWidth="1"/>
    <col min="13" max="13" width="9.25" bestFit="1" customWidth="1"/>
    <col min="20" max="20" width="11.5" customWidth="1"/>
    <col min="25" max="25" width="13" bestFit="1" customWidth="1"/>
    <col min="40" max="40" width="13" bestFit="1" customWidth="1"/>
    <col min="132" max="132" width="18.33203125" bestFit="1" customWidth="1"/>
    <col min="147" max="147" width="12.08203125" bestFit="1" customWidth="1"/>
    <col min="148" max="148" width="10.6640625" bestFit="1" customWidth="1"/>
  </cols>
  <sheetData>
    <row r="1" spans="1:105">
      <c r="A1" t="s">
        <v>154</v>
      </c>
    </row>
    <row r="2" spans="1:105" ht="20.5">
      <c r="A2" t="s">
        <v>153</v>
      </c>
      <c r="B2" t="s">
        <v>847</v>
      </c>
      <c r="Y2" t="s">
        <v>685</v>
      </c>
      <c r="CS2" s="364" t="s">
        <v>773</v>
      </c>
      <c r="DA2" s="364" t="s">
        <v>773</v>
      </c>
    </row>
    <row r="3" spans="1:105" ht="30">
      <c r="Y3" s="254">
        <v>2024</v>
      </c>
      <c r="AN3" s="254">
        <v>2028</v>
      </c>
      <c r="CQ3" s="364" t="s">
        <v>780</v>
      </c>
      <c r="CS3" t="s">
        <v>772</v>
      </c>
    </row>
    <row r="4" spans="1:105">
      <c r="B4" t="s">
        <v>192</v>
      </c>
      <c r="G4" t="s">
        <v>194</v>
      </c>
      <c r="AA4" s="562" t="s">
        <v>165</v>
      </c>
      <c r="AB4" s="563"/>
      <c r="AC4" s="563"/>
      <c r="AD4" s="563"/>
      <c r="AE4" s="563"/>
      <c r="AF4" s="564"/>
      <c r="AG4" s="565" t="s">
        <v>166</v>
      </c>
      <c r="AH4" s="566"/>
      <c r="AP4" s="562" t="s">
        <v>165</v>
      </c>
      <c r="AQ4" s="563"/>
      <c r="AR4" s="563"/>
      <c r="AS4" s="563"/>
      <c r="AT4" s="563"/>
      <c r="AU4" s="564"/>
      <c r="AV4" s="565" t="s">
        <v>166</v>
      </c>
      <c r="AW4" s="566"/>
      <c r="CQ4" t="s">
        <v>779</v>
      </c>
      <c r="CS4" t="s">
        <v>776</v>
      </c>
      <c r="DA4" s="32" t="s">
        <v>777</v>
      </c>
    </row>
    <row r="5" spans="1:105" ht="17.5" thickBot="1">
      <c r="B5" t="s">
        <v>172</v>
      </c>
      <c r="G5" t="s">
        <v>193</v>
      </c>
      <c r="AA5" s="562" t="s">
        <v>44</v>
      </c>
      <c r="AB5" s="564"/>
      <c r="AC5" s="562" t="s">
        <v>45</v>
      </c>
      <c r="AD5" s="564"/>
      <c r="AE5" s="562" t="s">
        <v>46</v>
      </c>
      <c r="AF5" s="564"/>
      <c r="AG5" s="567"/>
      <c r="AH5" s="568"/>
      <c r="AI5" s="534"/>
      <c r="AJ5" s="534"/>
      <c r="AK5" s="534"/>
      <c r="AP5" s="562" t="s">
        <v>44</v>
      </c>
      <c r="AQ5" s="564"/>
      <c r="AR5" s="562" t="s">
        <v>45</v>
      </c>
      <c r="AS5" s="564"/>
      <c r="AT5" s="562" t="s">
        <v>46</v>
      </c>
      <c r="AU5" s="564"/>
      <c r="AV5" s="567"/>
      <c r="AW5" s="568"/>
      <c r="AX5" s="534"/>
      <c r="AY5" s="534"/>
      <c r="AZ5" s="534"/>
      <c r="CP5" t="s">
        <v>781</v>
      </c>
      <c r="CQ5" t="s">
        <v>775</v>
      </c>
      <c r="CS5" s="98"/>
      <c r="CT5" s="98" t="s">
        <v>763</v>
      </c>
      <c r="CU5" s="98" t="s">
        <v>764</v>
      </c>
      <c r="CV5" s="363" t="s">
        <v>765</v>
      </c>
      <c r="CW5" s="306" t="s">
        <v>766</v>
      </c>
      <c r="CX5" s="98" t="s">
        <v>767</v>
      </c>
      <c r="CY5" s="98" t="s">
        <v>768</v>
      </c>
      <c r="DA5" s="368">
        <v>2.8500000000000001E-2</v>
      </c>
    </row>
    <row r="6" spans="1:105" ht="18" customHeight="1" thickTop="1" thickBot="1">
      <c r="B6" s="543" t="s">
        <v>39</v>
      </c>
      <c r="C6" s="544"/>
      <c r="D6" s="547" t="s">
        <v>163</v>
      </c>
      <c r="E6" s="548"/>
      <c r="G6" s="32" t="s">
        <v>189</v>
      </c>
      <c r="Y6" t="s">
        <v>34</v>
      </c>
      <c r="Z6" t="s">
        <v>148</v>
      </c>
      <c r="AA6" s="53" t="s">
        <v>40</v>
      </c>
      <c r="AB6" s="53" t="s">
        <v>41</v>
      </c>
      <c r="AC6" s="53" t="s">
        <v>40</v>
      </c>
      <c r="AD6" s="54" t="s">
        <v>41</v>
      </c>
      <c r="AE6" s="53" t="s">
        <v>40</v>
      </c>
      <c r="AF6" s="53" t="s">
        <v>41</v>
      </c>
      <c r="AG6" s="53" t="s">
        <v>40</v>
      </c>
      <c r="AH6" s="54" t="s">
        <v>41</v>
      </c>
      <c r="AI6" s="315"/>
      <c r="AJ6" s="315"/>
      <c r="AK6" s="315"/>
      <c r="AN6" t="s">
        <v>34</v>
      </c>
      <c r="AO6" t="s">
        <v>148</v>
      </c>
      <c r="AP6" s="53" t="s">
        <v>40</v>
      </c>
      <c r="AQ6" s="53" t="s">
        <v>41</v>
      </c>
      <c r="AR6" s="53" t="s">
        <v>40</v>
      </c>
      <c r="AS6" s="54" t="s">
        <v>41</v>
      </c>
      <c r="AT6" s="53" t="s">
        <v>40</v>
      </c>
      <c r="AU6" s="53" t="s">
        <v>41</v>
      </c>
      <c r="AV6" s="53" t="s">
        <v>40</v>
      </c>
      <c r="AW6" s="54" t="s">
        <v>41</v>
      </c>
      <c r="AX6" s="315"/>
      <c r="AY6" s="315"/>
      <c r="AZ6" s="315"/>
      <c r="CP6" s="97">
        <f>K41</f>
        <v>14750.090761223284</v>
      </c>
      <c r="CQ6">
        <v>2023</v>
      </c>
      <c r="CS6" s="98"/>
      <c r="CT6" s="98"/>
      <c r="CU6" s="369">
        <v>0</v>
      </c>
      <c r="CV6" s="371">
        <v>1</v>
      </c>
      <c r="CW6" s="370">
        <v>2</v>
      </c>
      <c r="CX6" s="369">
        <v>3</v>
      </c>
      <c r="CY6" s="369">
        <v>4</v>
      </c>
    </row>
    <row r="7" spans="1:105" ht="18" thickTop="1" thickBot="1">
      <c r="B7" s="545"/>
      <c r="C7" s="546"/>
      <c r="D7" s="36" t="s">
        <v>156</v>
      </c>
      <c r="E7" s="37" t="s">
        <v>157</v>
      </c>
      <c r="H7" t="s">
        <v>191</v>
      </c>
      <c r="Y7" t="s">
        <v>197</v>
      </c>
      <c r="Z7" t="s">
        <v>198</v>
      </c>
      <c r="AA7" s="17">
        <v>1081</v>
      </c>
      <c r="AB7" s="17">
        <v>1081</v>
      </c>
      <c r="AC7" s="16">
        <v>423</v>
      </c>
      <c r="AD7" s="55">
        <v>423</v>
      </c>
      <c r="AE7" s="16">
        <v>981</v>
      </c>
      <c r="AF7" s="16">
        <v>981</v>
      </c>
      <c r="AG7" s="17">
        <v>1034</v>
      </c>
      <c r="AH7" s="43">
        <v>1034</v>
      </c>
      <c r="AI7" s="71"/>
      <c r="AJ7" s="71"/>
      <c r="AK7" s="71"/>
      <c r="AN7" t="s">
        <v>197</v>
      </c>
      <c r="AO7" t="s">
        <v>198</v>
      </c>
      <c r="AP7" s="17">
        <v>1081</v>
      </c>
      <c r="AQ7" s="17">
        <v>1081</v>
      </c>
      <c r="AR7" s="16">
        <v>423</v>
      </c>
      <c r="AS7" s="55">
        <v>423</v>
      </c>
      <c r="AT7" s="16">
        <v>981</v>
      </c>
      <c r="AU7" s="16">
        <v>981</v>
      </c>
      <c r="AV7" s="17">
        <v>1036</v>
      </c>
      <c r="AW7" s="43">
        <v>1036</v>
      </c>
      <c r="AX7" s="71"/>
      <c r="AY7" s="71"/>
      <c r="AZ7" s="71"/>
      <c r="CS7" s="98" t="s">
        <v>769</v>
      </c>
      <c r="CT7" s="98">
        <v>100000</v>
      </c>
      <c r="CU7" s="365">
        <v>0.3</v>
      </c>
      <c r="CV7" s="372">
        <v>0.7</v>
      </c>
      <c r="CW7" s="366">
        <v>0.85</v>
      </c>
      <c r="CX7" s="365">
        <v>0.95</v>
      </c>
      <c r="CY7" s="365">
        <v>1</v>
      </c>
    </row>
    <row r="8" spans="1:105" ht="18" thickTop="1" thickBot="1">
      <c r="B8" s="549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  <c r="Y8" s="56" t="s">
        <v>197</v>
      </c>
      <c r="Z8" s="20" t="s">
        <v>199</v>
      </c>
      <c r="AA8" s="17">
        <v>1075</v>
      </c>
      <c r="AB8" s="17">
        <v>1075</v>
      </c>
      <c r="AC8" s="16">
        <v>420</v>
      </c>
      <c r="AD8" s="55">
        <v>420</v>
      </c>
      <c r="AE8" s="16">
        <v>975</v>
      </c>
      <c r="AF8" s="16">
        <v>975</v>
      </c>
      <c r="AG8" s="17">
        <v>1028</v>
      </c>
      <c r="AH8" s="43">
        <v>1028</v>
      </c>
      <c r="AI8" s="71"/>
      <c r="AJ8" s="71"/>
      <c r="AK8" s="71"/>
      <c r="AN8" s="56" t="s">
        <v>197</v>
      </c>
      <c r="AO8" s="20" t="s">
        <v>199</v>
      </c>
      <c r="AP8" s="17">
        <v>1075</v>
      </c>
      <c r="AQ8" s="17">
        <v>1075</v>
      </c>
      <c r="AR8" s="16">
        <v>420</v>
      </c>
      <c r="AS8" s="55">
        <v>420</v>
      </c>
      <c r="AT8" s="16">
        <v>975</v>
      </c>
      <c r="AU8" s="16">
        <v>975</v>
      </c>
      <c r="AV8" s="17">
        <v>1030</v>
      </c>
      <c r="AW8" s="43">
        <v>1030</v>
      </c>
      <c r="AX8" s="71"/>
      <c r="AY8" s="71"/>
      <c r="AZ8" s="71"/>
      <c r="CS8" s="98" t="s">
        <v>770</v>
      </c>
      <c r="CT8" s="98">
        <v>50000</v>
      </c>
      <c r="CU8" s="365">
        <v>0.5</v>
      </c>
      <c r="CV8" s="372">
        <v>0.8</v>
      </c>
      <c r="CW8" s="366">
        <v>0.9</v>
      </c>
      <c r="CX8" s="365">
        <v>1</v>
      </c>
      <c r="CY8" s="365">
        <v>1</v>
      </c>
    </row>
    <row r="9" spans="1:105" ht="18" thickTop="1" thickBot="1">
      <c r="B9" s="536"/>
      <c r="C9" s="46" t="s">
        <v>166</v>
      </c>
      <c r="D9" s="46">
        <v>1.59</v>
      </c>
      <c r="E9" s="47">
        <v>1.7</v>
      </c>
      <c r="Y9" t="s">
        <v>197</v>
      </c>
      <c r="Z9" t="s">
        <v>200</v>
      </c>
      <c r="AA9" s="16">
        <v>881</v>
      </c>
      <c r="AB9" s="16">
        <v>881</v>
      </c>
      <c r="AC9" s="16">
        <v>344</v>
      </c>
      <c r="AD9" s="55">
        <v>344</v>
      </c>
      <c r="AE9" s="16">
        <v>799</v>
      </c>
      <c r="AF9" s="16">
        <v>799</v>
      </c>
      <c r="AG9" s="16">
        <v>842</v>
      </c>
      <c r="AH9" s="55">
        <v>842</v>
      </c>
      <c r="AI9" s="71"/>
      <c r="AJ9" s="71"/>
      <c r="AK9" s="71"/>
      <c r="AN9" t="s">
        <v>197</v>
      </c>
      <c r="AO9" t="s">
        <v>200</v>
      </c>
      <c r="AP9" s="16">
        <v>881</v>
      </c>
      <c r="AQ9" s="16">
        <v>881</v>
      </c>
      <c r="AR9" s="16">
        <v>344</v>
      </c>
      <c r="AS9" s="55">
        <v>344</v>
      </c>
      <c r="AT9" s="16">
        <v>799</v>
      </c>
      <c r="AU9" s="16">
        <v>799</v>
      </c>
      <c r="AV9" s="16">
        <v>844</v>
      </c>
      <c r="AW9" s="55">
        <v>844</v>
      </c>
      <c r="AX9" s="71"/>
      <c r="AY9" s="71"/>
      <c r="AZ9" s="71"/>
      <c r="CS9" s="306" t="s">
        <v>771</v>
      </c>
      <c r="CT9" s="306">
        <v>49999</v>
      </c>
      <c r="CU9" s="366">
        <v>0.7</v>
      </c>
      <c r="CV9" s="373">
        <v>0.9</v>
      </c>
      <c r="CW9" s="367">
        <v>1</v>
      </c>
      <c r="CX9" s="366">
        <v>1</v>
      </c>
      <c r="CY9" s="366">
        <v>1</v>
      </c>
    </row>
    <row r="10" spans="1:105" ht="18" thickTop="1" thickBot="1">
      <c r="B10" s="535" t="s">
        <v>13</v>
      </c>
      <c r="C10" s="46" t="s">
        <v>9</v>
      </c>
      <c r="D10" s="46">
        <v>1.38</v>
      </c>
      <c r="E10" s="47">
        <v>1.48</v>
      </c>
      <c r="Y10" t="s">
        <v>197</v>
      </c>
      <c r="Z10" t="s">
        <v>201</v>
      </c>
      <c r="AA10" s="16">
        <v>898</v>
      </c>
      <c r="AB10" s="16">
        <v>898</v>
      </c>
      <c r="AC10" s="16">
        <v>351</v>
      </c>
      <c r="AD10" s="55">
        <v>351</v>
      </c>
      <c r="AE10" s="16">
        <v>815</v>
      </c>
      <c r="AF10" s="16">
        <v>815</v>
      </c>
      <c r="AG10" s="16">
        <v>859</v>
      </c>
      <c r="AH10" s="55">
        <v>859</v>
      </c>
      <c r="AI10" s="68"/>
      <c r="AJ10" s="68"/>
      <c r="AK10" s="68"/>
      <c r="AN10" t="s">
        <v>197</v>
      </c>
      <c r="AO10" t="s">
        <v>201</v>
      </c>
      <c r="AP10" s="16">
        <v>898</v>
      </c>
      <c r="AQ10" s="16">
        <v>898</v>
      </c>
      <c r="AR10" s="16">
        <v>351</v>
      </c>
      <c r="AS10" s="55">
        <v>351</v>
      </c>
      <c r="AT10" s="16">
        <v>815</v>
      </c>
      <c r="AU10" s="16">
        <v>815</v>
      </c>
      <c r="AV10" s="16">
        <v>861</v>
      </c>
      <c r="AW10" s="55">
        <v>861</v>
      </c>
      <c r="AX10" s="68"/>
      <c r="AY10" s="68"/>
      <c r="AZ10" s="68"/>
    </row>
    <row r="11" spans="1:105" ht="18" thickTop="1" thickBot="1">
      <c r="B11" s="536"/>
      <c r="C11" s="46" t="s">
        <v>10</v>
      </c>
      <c r="D11" s="46">
        <v>1.6</v>
      </c>
      <c r="E11" s="47">
        <v>1.56</v>
      </c>
      <c r="Y11" t="s">
        <v>135</v>
      </c>
      <c r="Z11" t="s">
        <v>12</v>
      </c>
      <c r="AA11" s="16">
        <v>112</v>
      </c>
      <c r="AB11" s="16">
        <v>112</v>
      </c>
      <c r="AC11" s="16">
        <v>44</v>
      </c>
      <c r="AD11" s="55">
        <v>44</v>
      </c>
      <c r="AE11" s="16">
        <v>100</v>
      </c>
      <c r="AF11" s="16">
        <v>100</v>
      </c>
      <c r="AG11" s="16">
        <v>106</v>
      </c>
      <c r="AH11" s="55">
        <v>106</v>
      </c>
      <c r="AI11" s="69"/>
      <c r="AJ11" s="69"/>
      <c r="AK11" s="69"/>
      <c r="AN11" t="s">
        <v>135</v>
      </c>
      <c r="AO11" t="s">
        <v>12</v>
      </c>
      <c r="AP11" s="16">
        <v>112</v>
      </c>
      <c r="AQ11" s="16">
        <v>112</v>
      </c>
      <c r="AR11" s="16">
        <v>44</v>
      </c>
      <c r="AS11" s="55">
        <v>44</v>
      </c>
      <c r="AT11" s="16">
        <v>100</v>
      </c>
      <c r="AU11" s="16">
        <v>100</v>
      </c>
      <c r="AV11" s="16">
        <v>106</v>
      </c>
      <c r="AW11" s="55">
        <v>106</v>
      </c>
      <c r="AX11" s="69"/>
      <c r="AY11" s="69"/>
      <c r="AZ11" s="69"/>
    </row>
    <row r="12" spans="1:105" ht="17.5" thickTop="1">
      <c r="B12" s="535" t="s">
        <v>167</v>
      </c>
      <c r="C12" s="46" t="s">
        <v>9</v>
      </c>
      <c r="D12" s="46">
        <v>1.25</v>
      </c>
      <c r="E12" s="47">
        <v>1.25</v>
      </c>
      <c r="AA12" s="571" t="s">
        <v>286</v>
      </c>
      <c r="AB12" s="572"/>
      <c r="AC12" s="571" t="s">
        <v>287</v>
      </c>
      <c r="AD12" s="573"/>
      <c r="AP12" s="571" t="s">
        <v>286</v>
      </c>
      <c r="AQ12" s="572"/>
      <c r="AR12" s="571" t="s">
        <v>287</v>
      </c>
      <c r="AS12" s="573"/>
    </row>
    <row r="13" spans="1:105" ht="17.5" thickBot="1">
      <c r="B13" s="536"/>
      <c r="C13" s="46" t="s">
        <v>10</v>
      </c>
      <c r="D13" s="46">
        <v>1.47</v>
      </c>
      <c r="E13" s="47">
        <v>1.73</v>
      </c>
      <c r="AA13" s="53" t="s">
        <v>40</v>
      </c>
      <c r="AB13" s="53" t="s">
        <v>41</v>
      </c>
      <c r="AC13" s="53" t="s">
        <v>40</v>
      </c>
      <c r="AD13" s="54" t="s">
        <v>41</v>
      </c>
      <c r="AP13" s="53" t="s">
        <v>40</v>
      </c>
      <c r="AQ13" s="53" t="s">
        <v>41</v>
      </c>
      <c r="AR13" s="53" t="s">
        <v>40</v>
      </c>
      <c r="AS13" s="54" t="s">
        <v>41</v>
      </c>
    </row>
    <row r="14" spans="1:105" ht="18" thickTop="1" thickBot="1">
      <c r="B14" s="535" t="s">
        <v>168</v>
      </c>
      <c r="C14" s="46" t="s">
        <v>9</v>
      </c>
      <c r="D14" s="46">
        <v>1.35</v>
      </c>
      <c r="E14" s="47">
        <v>1.4</v>
      </c>
      <c r="Y14" t="s">
        <v>136</v>
      </c>
      <c r="Z14" t="s">
        <v>13</v>
      </c>
      <c r="AA14" s="16">
        <v>345</v>
      </c>
      <c r="AB14" s="16">
        <v>345</v>
      </c>
      <c r="AC14" s="17">
        <v>3650</v>
      </c>
      <c r="AD14" s="43">
        <v>3650</v>
      </c>
      <c r="AE14" s="69"/>
      <c r="AF14" s="69"/>
      <c r="AG14" s="68"/>
      <c r="AH14" s="68"/>
      <c r="AI14" s="68"/>
      <c r="AJ14" s="68"/>
      <c r="AK14" s="68"/>
      <c r="AN14" t="s">
        <v>136</v>
      </c>
      <c r="AO14" t="s">
        <v>13</v>
      </c>
      <c r="AP14" s="16">
        <v>345</v>
      </c>
      <c r="AQ14" s="16">
        <v>345</v>
      </c>
      <c r="AR14" s="17">
        <v>3657</v>
      </c>
      <c r="AS14" s="43">
        <v>3657</v>
      </c>
      <c r="AT14" s="69"/>
      <c r="AU14" s="69"/>
      <c r="AV14" s="68"/>
      <c r="AW14" s="68"/>
      <c r="AX14" s="68"/>
      <c r="AY14" s="68"/>
      <c r="AZ14" s="68"/>
    </row>
    <row r="15" spans="1:105" ht="18" thickTop="1" thickBot="1">
      <c r="B15" s="536"/>
      <c r="C15" s="46" t="s">
        <v>10</v>
      </c>
      <c r="D15" s="46">
        <v>1.6</v>
      </c>
      <c r="E15" s="47">
        <v>1.73</v>
      </c>
      <c r="Y15" t="s">
        <v>206</v>
      </c>
      <c r="Z15" t="s">
        <v>167</v>
      </c>
      <c r="AA15" s="17">
        <v>1318</v>
      </c>
      <c r="AB15" s="17">
        <v>1318</v>
      </c>
      <c r="AC15" s="17">
        <v>8098</v>
      </c>
      <c r="AD15" s="43">
        <v>8098</v>
      </c>
      <c r="AE15" s="68"/>
      <c r="AF15" s="68"/>
      <c r="AG15" s="68"/>
      <c r="AH15" s="68"/>
      <c r="AI15" s="68"/>
      <c r="AJ15" s="68"/>
      <c r="AK15" s="68"/>
      <c r="AN15" t="s">
        <v>206</v>
      </c>
      <c r="AO15" t="s">
        <v>167</v>
      </c>
      <c r="AP15" s="17">
        <v>1318</v>
      </c>
      <c r="AQ15" s="17">
        <v>1318</v>
      </c>
      <c r="AR15" s="17">
        <v>8113</v>
      </c>
      <c r="AS15" s="43">
        <v>8113</v>
      </c>
      <c r="AT15" s="68"/>
      <c r="AU15" s="68"/>
      <c r="AV15" s="68"/>
      <c r="AW15" s="68"/>
      <c r="AX15" s="68"/>
      <c r="AY15" s="68"/>
      <c r="AZ15" s="68"/>
    </row>
    <row r="16" spans="1:105" ht="18" thickTop="1" thickBot="1">
      <c r="B16" s="535" t="s">
        <v>47</v>
      </c>
      <c r="C16" s="46" t="s">
        <v>9</v>
      </c>
      <c r="D16" s="46">
        <v>1.33</v>
      </c>
      <c r="E16" s="47">
        <v>1.55</v>
      </c>
      <c r="Y16" t="s">
        <v>207</v>
      </c>
      <c r="Z16" t="s">
        <v>168</v>
      </c>
      <c r="AA16" s="17">
        <v>4945</v>
      </c>
      <c r="AB16" s="17">
        <v>4945</v>
      </c>
      <c r="AC16" s="17">
        <v>8833</v>
      </c>
      <c r="AD16" s="43">
        <v>8833</v>
      </c>
      <c r="AE16" s="68"/>
      <c r="AF16" s="68"/>
      <c r="AG16" s="68"/>
      <c r="AH16" s="68"/>
      <c r="AI16" s="68"/>
      <c r="AJ16" s="68"/>
      <c r="AK16" s="68"/>
      <c r="AN16" t="s">
        <v>207</v>
      </c>
      <c r="AO16" t="s">
        <v>168</v>
      </c>
      <c r="AP16" s="17">
        <v>4945</v>
      </c>
      <c r="AQ16" s="17">
        <v>4945</v>
      </c>
      <c r="AR16" s="17">
        <v>8849</v>
      </c>
      <c r="AS16" s="43">
        <v>8849</v>
      </c>
      <c r="AT16" s="68"/>
      <c r="AU16" s="68"/>
      <c r="AV16" s="68"/>
      <c r="AW16" s="68"/>
      <c r="AX16" s="68"/>
      <c r="AY16" s="68"/>
      <c r="AZ16" s="68"/>
    </row>
    <row r="17" spans="1:75" ht="18" thickTop="1" thickBot="1">
      <c r="B17" s="536"/>
      <c r="C17" s="46" t="s">
        <v>10</v>
      </c>
      <c r="D17" s="46">
        <v>1.43</v>
      </c>
      <c r="E17" s="47">
        <v>1.54</v>
      </c>
      <c r="Y17" t="s">
        <v>208</v>
      </c>
      <c r="Z17" t="s">
        <v>47</v>
      </c>
      <c r="AA17" s="16">
        <v>848</v>
      </c>
      <c r="AB17" s="16">
        <v>848</v>
      </c>
      <c r="AC17" s="17">
        <v>2550</v>
      </c>
      <c r="AD17" s="43">
        <v>2550</v>
      </c>
      <c r="AE17" s="68"/>
      <c r="AF17" s="68"/>
      <c r="AG17" s="69"/>
      <c r="AH17" s="69"/>
      <c r="AI17" s="68"/>
      <c r="AJ17" s="68"/>
      <c r="AK17" s="68"/>
      <c r="AN17" t="s">
        <v>208</v>
      </c>
      <c r="AO17" t="s">
        <v>47</v>
      </c>
      <c r="AP17" s="16">
        <v>848</v>
      </c>
      <c r="AQ17" s="16">
        <v>848</v>
      </c>
      <c r="AR17" s="17">
        <v>2554</v>
      </c>
      <c r="AS17" s="43">
        <v>2554</v>
      </c>
      <c r="AT17" s="68"/>
      <c r="AU17" s="68"/>
      <c r="AV17" s="69"/>
      <c r="AW17" s="69"/>
      <c r="AX17" s="68"/>
      <c r="AY17" s="68"/>
      <c r="AZ17" s="68"/>
    </row>
    <row r="18" spans="1:75" ht="18" thickTop="1" thickBot="1">
      <c r="B18" s="535" t="s">
        <v>169</v>
      </c>
      <c r="C18" s="46" t="s">
        <v>9</v>
      </c>
      <c r="D18" s="46">
        <v>1.33</v>
      </c>
      <c r="E18" s="47">
        <v>1.55</v>
      </c>
      <c r="Y18" t="s">
        <v>209</v>
      </c>
      <c r="Z18" t="s">
        <v>169</v>
      </c>
      <c r="AA18" s="17">
        <v>1567</v>
      </c>
      <c r="AB18" s="17">
        <v>1567</v>
      </c>
      <c r="AC18" s="17">
        <v>6410</v>
      </c>
      <c r="AD18" s="43">
        <v>6410</v>
      </c>
      <c r="AE18" s="68"/>
      <c r="AF18" s="68"/>
      <c r="AG18" s="68"/>
      <c r="AH18" s="68"/>
      <c r="AI18" s="68"/>
      <c r="AJ18" s="68"/>
      <c r="AK18" s="68"/>
      <c r="AN18" t="s">
        <v>209</v>
      </c>
      <c r="AO18" t="s">
        <v>169</v>
      </c>
      <c r="AP18" s="17">
        <v>1567</v>
      </c>
      <c r="AQ18" s="17">
        <v>1567</v>
      </c>
      <c r="AR18" s="17">
        <v>6422</v>
      </c>
      <c r="AS18" s="43">
        <v>6422</v>
      </c>
      <c r="AT18" s="68"/>
      <c r="AU18" s="68"/>
      <c r="AV18" s="68"/>
      <c r="AW18" s="68"/>
      <c r="AX18" s="68"/>
      <c r="AY18" s="68"/>
      <c r="AZ18" s="68"/>
    </row>
    <row r="19" spans="1:75" ht="18" thickTop="1" thickBot="1">
      <c r="B19" s="536"/>
      <c r="C19" s="46" t="s">
        <v>10</v>
      </c>
      <c r="D19" s="46">
        <v>1.43</v>
      </c>
      <c r="E19" s="47">
        <v>1.54</v>
      </c>
      <c r="Y19" t="s">
        <v>210</v>
      </c>
      <c r="Z19" t="s">
        <v>170</v>
      </c>
      <c r="AA19" s="17">
        <v>1296</v>
      </c>
      <c r="AB19" s="17">
        <v>1296</v>
      </c>
      <c r="AC19" s="17">
        <v>13545</v>
      </c>
      <c r="AD19" s="43">
        <v>13545</v>
      </c>
      <c r="AE19" s="68"/>
      <c r="AF19" s="68"/>
      <c r="AG19" s="68"/>
      <c r="AH19" s="68"/>
      <c r="AI19" s="68"/>
      <c r="AJ19" s="68"/>
      <c r="AK19" s="68"/>
      <c r="AN19" t="s">
        <v>210</v>
      </c>
      <c r="AO19" t="s">
        <v>170</v>
      </c>
      <c r="AP19" s="17">
        <v>1296</v>
      </c>
      <c r="AQ19" s="17">
        <v>1296</v>
      </c>
      <c r="AR19" s="17">
        <v>13569</v>
      </c>
      <c r="AS19" s="43">
        <v>13569</v>
      </c>
      <c r="AT19" s="68"/>
      <c r="AU19" s="68"/>
      <c r="AV19" s="68"/>
      <c r="AW19" s="68"/>
      <c r="AX19" s="68"/>
      <c r="AY19" s="68"/>
      <c r="AZ19" s="68"/>
    </row>
    <row r="20" spans="1:75" ht="18" thickTop="1" thickBot="1">
      <c r="B20" s="535" t="s">
        <v>170</v>
      </c>
      <c r="C20" s="46" t="s">
        <v>9</v>
      </c>
      <c r="D20" s="46">
        <v>1.33</v>
      </c>
      <c r="E20" s="47">
        <v>1.55</v>
      </c>
      <c r="Y20" t="s">
        <v>211</v>
      </c>
      <c r="Z20" t="s">
        <v>171</v>
      </c>
      <c r="AA20" s="16">
        <v>44</v>
      </c>
      <c r="AB20" s="16">
        <v>44</v>
      </c>
      <c r="AC20" s="16">
        <v>45</v>
      </c>
      <c r="AD20" s="16">
        <v>45</v>
      </c>
      <c r="AE20" s="69"/>
      <c r="AF20" s="69"/>
      <c r="AG20" s="69"/>
      <c r="AH20" s="69"/>
      <c r="AI20" s="69"/>
      <c r="AJ20" s="69"/>
      <c r="AK20" s="69"/>
      <c r="AN20" t="s">
        <v>211</v>
      </c>
      <c r="AO20" t="s">
        <v>171</v>
      </c>
      <c r="AP20" s="16">
        <v>44</v>
      </c>
      <c r="AQ20" s="16">
        <v>44</v>
      </c>
      <c r="AR20" s="16">
        <v>45</v>
      </c>
      <c r="AS20" s="16">
        <v>45</v>
      </c>
      <c r="AT20" s="69"/>
      <c r="AU20" s="69"/>
      <c r="AV20" s="69"/>
      <c r="AW20" s="69"/>
      <c r="AX20" s="69"/>
      <c r="AY20" s="69"/>
      <c r="AZ20" s="69"/>
    </row>
    <row r="21" spans="1:75" ht="17.5" thickTop="1">
      <c r="B21" s="536"/>
      <c r="C21" s="46" t="s">
        <v>10</v>
      </c>
      <c r="D21" s="46">
        <v>1.43</v>
      </c>
      <c r="E21" s="47">
        <v>1.54</v>
      </c>
      <c r="Y21" t="s">
        <v>778</v>
      </c>
      <c r="Z21" t="s">
        <v>26</v>
      </c>
      <c r="AA21" s="56">
        <f t="shared" ref="AA21:AH21" si="0">SUM(AA7:AA20)</f>
        <v>14410</v>
      </c>
      <c r="AB21" s="56">
        <f t="shared" si="0"/>
        <v>14410</v>
      </c>
      <c r="AC21" s="56">
        <f t="shared" si="0"/>
        <v>44713</v>
      </c>
      <c r="AD21" s="56">
        <f t="shared" si="0"/>
        <v>44713</v>
      </c>
      <c r="AE21" s="56">
        <f t="shared" si="0"/>
        <v>3670</v>
      </c>
      <c r="AF21" s="56">
        <f t="shared" si="0"/>
        <v>3670</v>
      </c>
      <c r="AG21" s="56">
        <f t="shared" si="0"/>
        <v>3869</v>
      </c>
      <c r="AH21" s="56">
        <f t="shared" si="0"/>
        <v>3869</v>
      </c>
      <c r="AI21" s="56"/>
      <c r="AJ21" s="56"/>
      <c r="AK21" s="56"/>
      <c r="AN21" t="s">
        <v>26</v>
      </c>
      <c r="AO21" t="s">
        <v>26</v>
      </c>
      <c r="AP21" s="56">
        <f t="shared" ref="AP21:AW21" si="1">SUM(AP7:AP20)</f>
        <v>14410</v>
      </c>
      <c r="AQ21" s="56">
        <f t="shared" si="1"/>
        <v>14410</v>
      </c>
      <c r="AR21" s="56">
        <f t="shared" si="1"/>
        <v>44791</v>
      </c>
      <c r="AS21" s="56">
        <f t="shared" si="1"/>
        <v>44791</v>
      </c>
      <c r="AT21" s="56">
        <f t="shared" si="1"/>
        <v>3670</v>
      </c>
      <c r="AU21" s="56">
        <f t="shared" si="1"/>
        <v>3670</v>
      </c>
      <c r="AV21" s="56">
        <f t="shared" si="1"/>
        <v>3877</v>
      </c>
      <c r="AW21" s="56">
        <f t="shared" si="1"/>
        <v>3877</v>
      </c>
      <c r="AX21" s="56"/>
      <c r="AY21" s="56"/>
      <c r="AZ21" s="56"/>
      <c r="BF21">
        <v>0.01</v>
      </c>
    </row>
    <row r="22" spans="1:75">
      <c r="B22" s="535" t="s">
        <v>171</v>
      </c>
      <c r="C22" s="46" t="s">
        <v>9</v>
      </c>
      <c r="D22" s="46">
        <v>1.27</v>
      </c>
      <c r="E22" s="47">
        <v>1.35</v>
      </c>
    </row>
    <row r="23" spans="1:75" ht="17.5" thickBot="1">
      <c r="B23" s="537"/>
      <c r="C23" s="48" t="s">
        <v>10</v>
      </c>
      <c r="D23" s="48">
        <v>1.27</v>
      </c>
      <c r="E23" s="49">
        <v>1.35</v>
      </c>
    </row>
    <row r="24" spans="1:75" ht="31" thickTop="1" thickBot="1">
      <c r="B24" s="56"/>
      <c r="C24" s="56"/>
      <c r="D24" s="56"/>
      <c r="E24" s="56"/>
      <c r="Y24" s="254">
        <v>2025</v>
      </c>
      <c r="AM24" s="254">
        <v>2028</v>
      </c>
    </row>
    <row r="25" spans="1:75" ht="18" thickTop="1" thickBot="1">
      <c r="L25" s="64" t="s">
        <v>196</v>
      </c>
      <c r="O25" t="s">
        <v>215</v>
      </c>
      <c r="AA25" s="532" t="s">
        <v>156</v>
      </c>
      <c r="AB25" s="533"/>
      <c r="AC25" s="534" t="s">
        <v>157</v>
      </c>
      <c r="AD25" s="534"/>
      <c r="AE25" s="534" t="s">
        <v>158</v>
      </c>
      <c r="AF25" s="534"/>
      <c r="AG25" s="534" t="s">
        <v>159</v>
      </c>
      <c r="AH25" s="534"/>
      <c r="AI25" s="534" t="s">
        <v>160</v>
      </c>
      <c r="AJ25" s="534"/>
      <c r="AK25" s="534"/>
      <c r="AP25" s="532" t="s">
        <v>156</v>
      </c>
      <c r="AQ25" s="533"/>
      <c r="AR25" s="534" t="s">
        <v>157</v>
      </c>
      <c r="AS25" s="534"/>
      <c r="AT25" s="534" t="s">
        <v>158</v>
      </c>
      <c r="AU25" s="534"/>
      <c r="AV25" s="534" t="s">
        <v>159</v>
      </c>
      <c r="AW25" s="534"/>
      <c r="AX25" s="534" t="s">
        <v>160</v>
      </c>
      <c r="AY25" s="534"/>
      <c r="AZ25" s="534"/>
      <c r="BG25" s="569" t="s">
        <v>39</v>
      </c>
      <c r="BH25" s="569"/>
      <c r="BI25" s="570"/>
      <c r="BJ25" s="332" t="s">
        <v>156</v>
      </c>
      <c r="BK25" s="332" t="s">
        <v>157</v>
      </c>
      <c r="BL25" s="332" t="s">
        <v>158</v>
      </c>
      <c r="BM25" s="332" t="s">
        <v>159</v>
      </c>
      <c r="BN25" s="333" t="s">
        <v>11</v>
      </c>
      <c r="BP25" s="569" t="s">
        <v>39</v>
      </c>
      <c r="BQ25" s="569"/>
      <c r="BR25" s="570"/>
      <c r="BS25" s="332" t="s">
        <v>156</v>
      </c>
      <c r="BT25" s="332" t="s">
        <v>157</v>
      </c>
      <c r="BU25" s="332" t="s">
        <v>158</v>
      </c>
      <c r="BV25" s="332" t="s">
        <v>159</v>
      </c>
      <c r="BW25" s="333" t="s">
        <v>11</v>
      </c>
    </row>
    <row r="26" spans="1:75" ht="30.5" thickTop="1">
      <c r="A26" s="254">
        <v>2025</v>
      </c>
      <c r="Y26" t="s">
        <v>34</v>
      </c>
      <c r="Z26" t="s">
        <v>148</v>
      </c>
      <c r="AA26" s="315" t="s">
        <v>40</v>
      </c>
      <c r="AB26" s="315" t="s">
        <v>41</v>
      </c>
      <c r="AC26" s="315" t="s">
        <v>40</v>
      </c>
      <c r="AD26" s="315" t="s">
        <v>41</v>
      </c>
      <c r="AE26" s="315" t="s">
        <v>40</v>
      </c>
      <c r="AF26" s="315" t="s">
        <v>41</v>
      </c>
      <c r="AG26" s="315" t="s">
        <v>40</v>
      </c>
      <c r="AH26" s="315" t="s">
        <v>41</v>
      </c>
      <c r="AI26" s="315" t="s">
        <v>40</v>
      </c>
      <c r="AJ26" s="315" t="s">
        <v>41</v>
      </c>
      <c r="AK26" s="315" t="s">
        <v>21</v>
      </c>
      <c r="AN26" t="s">
        <v>34</v>
      </c>
      <c r="AO26" t="s">
        <v>148</v>
      </c>
      <c r="AP26" s="315" t="s">
        <v>40</v>
      </c>
      <c r="AQ26" s="315" t="s">
        <v>41</v>
      </c>
      <c r="AR26" s="315" t="s">
        <v>40</v>
      </c>
      <c r="AS26" s="315" t="s">
        <v>41</v>
      </c>
      <c r="AT26" s="315" t="s">
        <v>40</v>
      </c>
      <c r="AU26" s="315" t="s">
        <v>41</v>
      </c>
      <c r="AV26" s="315" t="s">
        <v>40</v>
      </c>
      <c r="AW26" s="315" t="s">
        <v>41</v>
      </c>
      <c r="AX26" s="315" t="s">
        <v>40</v>
      </c>
      <c r="AY26" s="315" t="s">
        <v>41</v>
      </c>
      <c r="AZ26" s="315" t="s">
        <v>21</v>
      </c>
      <c r="BG26" s="553" t="s">
        <v>683</v>
      </c>
      <c r="BH26" s="556" t="s">
        <v>247</v>
      </c>
      <c r="BI26" s="44" t="s">
        <v>44</v>
      </c>
      <c r="BJ26" s="44">
        <v>40.4</v>
      </c>
      <c r="BK26" s="44">
        <v>6</v>
      </c>
      <c r="BL26" s="44">
        <v>40</v>
      </c>
      <c r="BM26" s="44">
        <v>0</v>
      </c>
      <c r="BN26" s="45">
        <v>13.6</v>
      </c>
      <c r="BP26" s="553" t="s">
        <v>684</v>
      </c>
      <c r="BQ26" s="556" t="s">
        <v>247</v>
      </c>
      <c r="BR26" s="46" t="s">
        <v>44</v>
      </c>
      <c r="BS26" s="46">
        <v>40.4</v>
      </c>
      <c r="BT26" s="46">
        <v>6</v>
      </c>
      <c r="BU26" s="46">
        <v>40.1</v>
      </c>
      <c r="BV26" s="46">
        <v>0</v>
      </c>
      <c r="BW26" s="47">
        <v>13.5</v>
      </c>
    </row>
    <row r="27" spans="1:75">
      <c r="C27" s="532" t="s">
        <v>156</v>
      </c>
      <c r="D27" s="533"/>
      <c r="E27" s="534" t="s">
        <v>157</v>
      </c>
      <c r="F27" s="534"/>
      <c r="G27" s="534" t="s">
        <v>158</v>
      </c>
      <c r="H27" s="534"/>
      <c r="I27" s="534" t="s">
        <v>159</v>
      </c>
      <c r="J27" s="534"/>
      <c r="K27" s="534" t="s">
        <v>160</v>
      </c>
      <c r="L27" s="534"/>
      <c r="M27" s="534"/>
      <c r="Y27" t="s">
        <v>197</v>
      </c>
      <c r="Z27" t="s">
        <v>198</v>
      </c>
      <c r="AA27" s="314">
        <f t="shared" ref="AA27:AB31" si="2">AA7*$BJ$26*$BF$21 + AC7*$BJ$27*$BF$21+AE7*$BJ$28*$BF$21</f>
        <v>739.61</v>
      </c>
      <c r="AB27" s="314">
        <f t="shared" si="2"/>
        <v>739.61</v>
      </c>
      <c r="AC27" s="314">
        <f t="shared" ref="AC27:AD31" si="3">AA7*$BK$26*$BF$21 + AC7*$BK$27*$BF$21+AE7*$BK$28*$BF$21</f>
        <v>144.66300000000001</v>
      </c>
      <c r="AD27" s="314">
        <f t="shared" si="3"/>
        <v>144.66300000000001</v>
      </c>
      <c r="AE27" s="314">
        <f t="shared" ref="AE27:AF31" si="4">AA7*$BL$26*$BF$21 + AC7*$BL$27*$BF$21+AE7*$BL$28*$BF$21</f>
        <v>995.36800000000005</v>
      </c>
      <c r="AF27" s="314">
        <f t="shared" si="4"/>
        <v>995.36800000000005</v>
      </c>
      <c r="AG27" s="314"/>
      <c r="AH27" s="314"/>
      <c r="AI27" s="71"/>
      <c r="AJ27" s="71"/>
      <c r="AK27" s="71"/>
      <c r="AN27" t="s">
        <v>197</v>
      </c>
      <c r="AO27" t="s">
        <v>198</v>
      </c>
      <c r="AP27" s="314">
        <f t="shared" ref="AP27:AQ31" si="5">AP7*$BJ$26*$BF$21 + AR7*$BJ$27*$BF$21+AT7*$BJ$28*$BF$21</f>
        <v>739.61</v>
      </c>
      <c r="AQ27" s="314">
        <f t="shared" si="5"/>
        <v>739.61</v>
      </c>
      <c r="AR27" s="314">
        <f t="shared" ref="AR27:AS31" si="6">AP7*$BK$26*$BF$21 + AR7*$BK$27*$BF$21+AT7*$BK$28*$BF$21</f>
        <v>144.66300000000001</v>
      </c>
      <c r="AS27" s="314">
        <f t="shared" si="6"/>
        <v>144.66300000000001</v>
      </c>
      <c r="AT27" s="314">
        <f t="shared" ref="AT27:AU31" si="7">AP7*$BL$26*$BF$21 + AR7*$BL$27*$BF$21+AT7*$BL$28*$BF$21</f>
        <v>995.36800000000005</v>
      </c>
      <c r="AU27" s="314">
        <f t="shared" si="7"/>
        <v>995.36800000000005</v>
      </c>
      <c r="AV27" s="314"/>
      <c r="AW27" s="314"/>
      <c r="AX27" s="71"/>
      <c r="AY27" s="71"/>
      <c r="AZ27" s="71"/>
      <c r="BG27" s="554"/>
      <c r="BH27" s="557"/>
      <c r="BI27" s="46" t="s">
        <v>45</v>
      </c>
      <c r="BJ27" s="46">
        <v>6.9</v>
      </c>
      <c r="BK27" s="46">
        <v>2.4</v>
      </c>
      <c r="BL27" s="46">
        <v>38.700000000000003</v>
      </c>
      <c r="BM27" s="46">
        <v>0</v>
      </c>
      <c r="BN27" s="47">
        <v>52</v>
      </c>
      <c r="BP27" s="554"/>
      <c r="BQ27" s="557"/>
      <c r="BR27" s="46" t="s">
        <v>45</v>
      </c>
      <c r="BS27" s="46">
        <v>6.9</v>
      </c>
      <c r="BT27" s="46">
        <v>2.4</v>
      </c>
      <c r="BU27" s="46">
        <v>38.799999999999997</v>
      </c>
      <c r="BV27" s="46">
        <v>0</v>
      </c>
      <c r="BW27" s="47">
        <v>51.9</v>
      </c>
    </row>
    <row r="28" spans="1:75">
      <c r="A28" t="s">
        <v>34</v>
      </c>
      <c r="B28" t="s">
        <v>148</v>
      </c>
      <c r="C28" s="294" t="s">
        <v>40</v>
      </c>
      <c r="D28" s="294" t="s">
        <v>41</v>
      </c>
      <c r="E28" s="294" t="s">
        <v>40</v>
      </c>
      <c r="F28" s="294" t="s">
        <v>41</v>
      </c>
      <c r="G28" s="294" t="s">
        <v>40</v>
      </c>
      <c r="H28" s="294" t="s">
        <v>41</v>
      </c>
      <c r="I28" s="294" t="s">
        <v>40</v>
      </c>
      <c r="J28" s="294" t="s">
        <v>41</v>
      </c>
      <c r="K28" s="294" t="s">
        <v>40</v>
      </c>
      <c r="L28" s="294" t="s">
        <v>41</v>
      </c>
      <c r="M28" s="294" t="s">
        <v>21</v>
      </c>
      <c r="Y28" s="56" t="s">
        <v>197</v>
      </c>
      <c r="Z28" s="20" t="s">
        <v>199</v>
      </c>
      <c r="AA28" s="314">
        <f t="shared" si="2"/>
        <v>735.30500000000006</v>
      </c>
      <c r="AB28" s="314">
        <f t="shared" si="2"/>
        <v>735.30500000000006</v>
      </c>
      <c r="AC28" s="314">
        <f t="shared" si="3"/>
        <v>143.80500000000001</v>
      </c>
      <c r="AD28" s="314">
        <f t="shared" si="3"/>
        <v>143.80500000000001</v>
      </c>
      <c r="AE28" s="314">
        <f t="shared" si="4"/>
        <v>989.36500000000001</v>
      </c>
      <c r="AF28" s="314">
        <f t="shared" si="4"/>
        <v>989.36500000000001</v>
      </c>
      <c r="AG28" s="314"/>
      <c r="AH28" s="314"/>
      <c r="AI28" s="71"/>
      <c r="AJ28" s="71"/>
      <c r="AK28" s="71"/>
      <c r="AN28" s="56" t="s">
        <v>197</v>
      </c>
      <c r="AO28" s="20" t="s">
        <v>199</v>
      </c>
      <c r="AP28" s="314">
        <f t="shared" si="5"/>
        <v>735.30500000000006</v>
      </c>
      <c r="AQ28" s="314">
        <f t="shared" si="5"/>
        <v>735.30500000000006</v>
      </c>
      <c r="AR28" s="314">
        <f t="shared" si="6"/>
        <v>143.80500000000001</v>
      </c>
      <c r="AS28" s="314">
        <f t="shared" si="6"/>
        <v>143.80500000000001</v>
      </c>
      <c r="AT28" s="314">
        <f t="shared" si="7"/>
        <v>989.36500000000001</v>
      </c>
      <c r="AU28" s="314">
        <f t="shared" si="7"/>
        <v>989.36500000000001</v>
      </c>
      <c r="AV28" s="314"/>
      <c r="AW28" s="314"/>
      <c r="AX28" s="71"/>
      <c r="AY28" s="71"/>
      <c r="AZ28" s="71"/>
      <c r="BG28" s="554"/>
      <c r="BH28" s="557"/>
      <c r="BI28" s="46" t="s">
        <v>46</v>
      </c>
      <c r="BJ28" s="46">
        <v>27.9</v>
      </c>
      <c r="BK28" s="46">
        <v>7.1</v>
      </c>
      <c r="BL28" s="46">
        <v>40.700000000000003</v>
      </c>
      <c r="BM28" s="46">
        <v>0</v>
      </c>
      <c r="BN28" s="47">
        <v>24.3</v>
      </c>
      <c r="BP28" s="554"/>
      <c r="BQ28" s="557"/>
      <c r="BR28" s="46" t="s">
        <v>46</v>
      </c>
      <c r="BS28" s="46">
        <v>27.9</v>
      </c>
      <c r="BT28" s="46">
        <v>7.1</v>
      </c>
      <c r="BU28" s="46">
        <v>40.700000000000003</v>
      </c>
      <c r="BV28" s="46">
        <v>0</v>
      </c>
      <c r="BW28" s="47">
        <v>24.3</v>
      </c>
    </row>
    <row r="29" spans="1:75">
      <c r="A29" t="s">
        <v>197</v>
      </c>
      <c r="B29" t="s">
        <v>198</v>
      </c>
      <c r="C29" s="406">
        <f>AA27*(1+KTDB_발생량도착량_증가율!$C$8) * (1+KTDB_발생량도착량_증가율!$D$8*5) * (1+KTDB_발생량도착량_증가율!$E$8*5) * (1+KTDB_발생량도착량_증가율!$F$8*5) * (1+KTDB_발생량도착량_증가율!$G$8*5)</f>
        <v>690.98840845797315</v>
      </c>
      <c r="D29" s="406">
        <f>AB27*(1+KTDB_발생량도착량_증가율!$C$7)*(1+KTDB_발생량도착량_증가율!$D$7*5)*(1+KTDB_발생량도착량_증가율!$E$7*5)*(1+KTDB_발생량도착량_증가율!$F$7*5)*(1+KTDB_발생량도착량_증가율!$G$7*5)</f>
        <v>690.98840845797315</v>
      </c>
      <c r="E29" s="406">
        <f>AC27*(1+KTDB_발생량도착량_증가율!$C$8) * (1+KTDB_발생량도착량_증가율!$D$8*5) * (1+KTDB_발생량도착량_증가율!$E$8*5) * (1+KTDB_발생량도착량_증가율!$F$8*5) * (1+KTDB_발생량도착량_증가율!$G$8*5)</f>
        <v>135.15292672186121</v>
      </c>
      <c r="F29" s="406">
        <f>AD27*(1+KTDB_발생량도착량_증가율!$C$7)*(1+KTDB_발생량도착량_증가율!$D$7*5)*(1+KTDB_발생량도착량_증가율!$E$7*5)*(1+KTDB_발생량도착량_증가율!$F$7*5)*(1+KTDB_발생량도착량_증가율!$G$7*5)</f>
        <v>135.15292672186121</v>
      </c>
      <c r="G29" s="407">
        <f>AE27*(1+KTDB_발생량도착량_증가율!$C$8) * (1+KTDB_발생량도착량_증가율!$D$8*5) * (1+KTDB_발생량도착량_증가율!$E$8*5) * (1+KTDB_발생량도착량_증가율!$F$8*5) * (1+KTDB_발생량도착량_증가율!$G$8*5)</f>
        <v>929.93300543529119</v>
      </c>
      <c r="H29" s="407">
        <f>AF27*(1+KTDB_발생량도착량_증가율!$C$7)*(1+KTDB_발생량도착량_증가율!$D$7*5)*(1+KTDB_발생량도착량_증가율!$E$7*5)*(1+KTDB_발생량도착량_증가율!$F$7*5)*(1+KTDB_발생량도착량_증가율!$G$7*5)</f>
        <v>929.93300543529119</v>
      </c>
      <c r="I29" s="299"/>
      <c r="J29" s="299"/>
      <c r="K29" s="71">
        <f>C29+E29+G29</f>
        <v>1756.0743406151255</v>
      </c>
      <c r="L29" s="71">
        <f t="shared" ref="L29:L40" si="8">D29+F29+H29</f>
        <v>1756.0743406151255</v>
      </c>
      <c r="M29" s="71">
        <f>K29+L29</f>
        <v>3512.148681230251</v>
      </c>
      <c r="Y29" t="s">
        <v>197</v>
      </c>
      <c r="Z29" t="s">
        <v>200</v>
      </c>
      <c r="AA29" s="314">
        <f t="shared" si="2"/>
        <v>602.58100000000002</v>
      </c>
      <c r="AB29" s="314">
        <f t="shared" si="2"/>
        <v>602.58100000000002</v>
      </c>
      <c r="AC29" s="314">
        <f t="shared" si="3"/>
        <v>117.845</v>
      </c>
      <c r="AD29" s="314">
        <f t="shared" si="3"/>
        <v>117.845</v>
      </c>
      <c r="AE29" s="314">
        <f t="shared" si="4"/>
        <v>810.721</v>
      </c>
      <c r="AF29" s="314">
        <f t="shared" si="4"/>
        <v>810.721</v>
      </c>
      <c r="AG29" s="314"/>
      <c r="AH29" s="314"/>
      <c r="AI29" s="71"/>
      <c r="AJ29" s="71"/>
      <c r="AK29" s="71"/>
      <c r="AN29" t="s">
        <v>197</v>
      </c>
      <c r="AO29" t="s">
        <v>200</v>
      </c>
      <c r="AP29" s="314">
        <f t="shared" si="5"/>
        <v>602.58100000000002</v>
      </c>
      <c r="AQ29" s="314">
        <f t="shared" si="5"/>
        <v>602.58100000000002</v>
      </c>
      <c r="AR29" s="314">
        <f t="shared" si="6"/>
        <v>117.845</v>
      </c>
      <c r="AS29" s="314">
        <f t="shared" si="6"/>
        <v>117.845</v>
      </c>
      <c r="AT29" s="314">
        <f t="shared" si="7"/>
        <v>810.721</v>
      </c>
      <c r="AU29" s="314">
        <f t="shared" si="7"/>
        <v>810.721</v>
      </c>
      <c r="AV29" s="314"/>
      <c r="AW29" s="314"/>
      <c r="AX29" s="71"/>
      <c r="AY29" s="71"/>
      <c r="AZ29" s="71"/>
      <c r="BG29" s="554"/>
      <c r="BH29" s="558"/>
      <c r="BI29" s="46" t="s">
        <v>166</v>
      </c>
      <c r="BJ29" s="46">
        <v>25</v>
      </c>
      <c r="BK29" s="46">
        <v>7.5</v>
      </c>
      <c r="BL29" s="46">
        <v>41.8</v>
      </c>
      <c r="BM29" s="46">
        <v>0</v>
      </c>
      <c r="BN29" s="47">
        <v>25.7</v>
      </c>
      <c r="BP29" s="554"/>
      <c r="BQ29" s="558"/>
      <c r="BR29" s="46" t="s">
        <v>166</v>
      </c>
      <c r="BS29" s="46">
        <v>25</v>
      </c>
      <c r="BT29" s="46">
        <v>7.5</v>
      </c>
      <c r="BU29" s="46">
        <v>41.9</v>
      </c>
      <c r="BV29" s="46">
        <v>0</v>
      </c>
      <c r="BW29" s="47">
        <v>25.6</v>
      </c>
    </row>
    <row r="30" spans="1:75">
      <c r="A30" s="56" t="s">
        <v>197</v>
      </c>
      <c r="B30" s="20" t="s">
        <v>199</v>
      </c>
      <c r="C30" s="406">
        <f>AA28*(1+KTDB_발생량도착량_증가율!$C$8) * (1+KTDB_발생량도착량_증가율!$D$8*5) * (1+KTDB_발생량도착량_증가율!$E$8*5) * (1+KTDB_발생량도착량_증가율!$F$8*5) * (1+KTDB_발생량도착량_증가율!$G$8*5)</f>
        <v>686.96641700516466</v>
      </c>
      <c r="D30" s="406">
        <f>AB28*(1+KTDB_발생량도착량_증가율!$C$7)*(1+KTDB_발생량도착량_증가율!$D$7*5)*(1+KTDB_발생량도착량_증가율!$E$7*5)*(1+KTDB_발생량도착량_증가율!$F$7*5)*(1+KTDB_발생량도착량_증가율!$G$7*5)</f>
        <v>686.96641700516466</v>
      </c>
      <c r="E30" s="406">
        <f>AC28*(1+KTDB_발생량도착량_증가율!$C$8) * (1+KTDB_발생량도착량_증가율!$D$8*5) * (1+KTDB_발생량도착량_증가율!$E$8*5) * (1+KTDB_발생량도착량_증가율!$F$8*5) * (1+KTDB_발생량도착량_증가율!$G$8*5)</f>
        <v>134.35133121279975</v>
      </c>
      <c r="F30" s="406">
        <f>AD28*(1+KTDB_발생량도착량_증가율!$C$7)*(1+KTDB_발생량도착량_증가율!$D$7*5)*(1+KTDB_발생량도착량_증가율!$E$7*5)*(1+KTDB_발생량도착량_증가율!$F$7*5)*(1+KTDB_발생량도착량_증가율!$G$7*5)</f>
        <v>134.35133121279975</v>
      </c>
      <c r="G30" s="407">
        <f>AE28*(1+KTDB_발생량도착량_증가율!$C$8) * (1+KTDB_발생량도착량_증가율!$D$8*5) * (1+KTDB_발생량도착량_증가율!$E$8*5) * (1+KTDB_발생량도착량_증가율!$F$8*5) * (1+KTDB_발생량도착량_증가율!$G$8*5)</f>
        <v>924.32463965336149</v>
      </c>
      <c r="H30" s="407">
        <f>AF28*(1+KTDB_발생량도착량_증가율!$C$7)*(1+KTDB_발생량도착량_증가율!$D$7*5)*(1+KTDB_발생량도착량_증가율!$E$7*5)*(1+KTDB_발생량도착량_증가율!$F$7*5)*(1+KTDB_발생량도착량_증가율!$G$7*5)</f>
        <v>924.32463965336149</v>
      </c>
      <c r="I30" s="299"/>
      <c r="J30" s="299"/>
      <c r="K30" s="71">
        <f t="shared" ref="K30:K40" si="9">C30+E30+G30</f>
        <v>1745.6423878713258</v>
      </c>
      <c r="L30" s="71">
        <f t="shared" si="8"/>
        <v>1745.6423878713258</v>
      </c>
      <c r="M30" s="71">
        <f t="shared" ref="M30:M40" si="10">K30+L30</f>
        <v>3491.2847757426516</v>
      </c>
      <c r="Y30" t="s">
        <v>197</v>
      </c>
      <c r="Z30" t="s">
        <v>201</v>
      </c>
      <c r="AA30" s="314">
        <f t="shared" si="2"/>
        <v>614.39599999999996</v>
      </c>
      <c r="AB30" s="314">
        <f t="shared" si="2"/>
        <v>614.39599999999996</v>
      </c>
      <c r="AC30" s="314">
        <f t="shared" si="3"/>
        <v>120.16900000000001</v>
      </c>
      <c r="AD30" s="314">
        <f t="shared" si="3"/>
        <v>120.16900000000001</v>
      </c>
      <c r="AE30" s="314">
        <f t="shared" si="4"/>
        <v>826.74199999999996</v>
      </c>
      <c r="AF30" s="314">
        <f t="shared" si="4"/>
        <v>826.74199999999996</v>
      </c>
      <c r="AG30" s="69"/>
      <c r="AH30" s="69"/>
      <c r="AI30" s="68"/>
      <c r="AJ30" s="68"/>
      <c r="AK30" s="68"/>
      <c r="AN30" t="s">
        <v>197</v>
      </c>
      <c r="AO30" t="s">
        <v>201</v>
      </c>
      <c r="AP30" s="314">
        <f t="shared" si="5"/>
        <v>614.39599999999996</v>
      </c>
      <c r="AQ30" s="314">
        <f t="shared" si="5"/>
        <v>614.39599999999996</v>
      </c>
      <c r="AR30" s="314">
        <f t="shared" si="6"/>
        <v>120.16900000000001</v>
      </c>
      <c r="AS30" s="314">
        <f t="shared" si="6"/>
        <v>120.16900000000001</v>
      </c>
      <c r="AT30" s="314">
        <f t="shared" si="7"/>
        <v>826.74199999999996</v>
      </c>
      <c r="AU30" s="314">
        <f t="shared" si="7"/>
        <v>826.74199999999996</v>
      </c>
      <c r="AV30" s="69"/>
      <c r="AW30" s="69"/>
      <c r="AX30" s="68"/>
      <c r="AY30" s="68"/>
      <c r="AZ30" s="68"/>
      <c r="BG30" s="554"/>
      <c r="BH30" s="559" t="s">
        <v>13</v>
      </c>
      <c r="BI30" s="46" t="s">
        <v>9</v>
      </c>
      <c r="BJ30" s="46">
        <v>26.3</v>
      </c>
      <c r="BK30" s="46">
        <v>1.9</v>
      </c>
      <c r="BL30" s="46">
        <v>55.2</v>
      </c>
      <c r="BM30" s="46">
        <v>0</v>
      </c>
      <c r="BN30" s="47">
        <v>16.600000000000001</v>
      </c>
      <c r="BP30" s="554"/>
      <c r="BQ30" s="559" t="s">
        <v>13</v>
      </c>
      <c r="BR30" s="46" t="s">
        <v>9</v>
      </c>
      <c r="BS30" s="46">
        <v>26.3</v>
      </c>
      <c r="BT30" s="46">
        <v>1.9</v>
      </c>
      <c r="BU30" s="46">
        <v>55.3</v>
      </c>
      <c r="BV30" s="46">
        <v>0</v>
      </c>
      <c r="BW30" s="47">
        <v>16.5</v>
      </c>
    </row>
    <row r="31" spans="1:75" ht="17" customHeight="1">
      <c r="A31" t="s">
        <v>197</v>
      </c>
      <c r="B31" t="s">
        <v>200</v>
      </c>
      <c r="C31" s="406">
        <f>AA29*(1+KTDB_발생량도착량_증가율!$C$8) * (1+KTDB_발생량도착량_증가율!$D$8*5) * (1+KTDB_발생량도착량_증가율!$E$8*5) * (1+KTDB_발생량도착량_증가율!$F$8*5) * (1+KTDB_발생량도착량_증가율!$G$8*5)</f>
        <v>562.96762639365875</v>
      </c>
      <c r="D31" s="406">
        <f>AB29*(1+KTDB_발생량도착량_증가율!$C$7)*(1+KTDB_발생량도착량_증가율!$D$7*5)*(1+KTDB_발생량도착량_증가율!$E$7*5)*(1+KTDB_발생량도착량_증가율!$F$7*5)*(1+KTDB_발생량도착량_증가율!$G$7*5)</f>
        <v>562.96762639365875</v>
      </c>
      <c r="E31" s="406">
        <f>AC29*(1+KTDB_발생량도착량_증가율!$C$8) * (1+KTDB_발생량도착량_증가율!$D$8*5) * (1+KTDB_발생량도착량_증가율!$E$8*5) * (1+KTDB_발생량도착량_증가율!$F$8*5) * (1+KTDB_발생량도착량_증가율!$G$8*5)</f>
        <v>110.09792863094043</v>
      </c>
      <c r="F31" s="406">
        <f>AD29*(1+KTDB_발생량도착량_증가율!$C$7)*(1+KTDB_발생량도착량_증가율!$D$7*5)*(1+KTDB_발생량도착량_증가율!$E$7*5)*(1+KTDB_발생량도착량_증가율!$F$7*5)*(1+KTDB_발생량도착량_증가율!$G$7*5)</f>
        <v>110.09792863094043</v>
      </c>
      <c r="G31" s="407">
        <f>AE29*(1+KTDB_발생량도착량_증가율!$C$8) * (1+KTDB_발생량도착량_증가율!$D$8*5) * (1+KTDB_발생량도착량_증가율!$E$8*5) * (1+KTDB_발생량도착량_증가율!$F$8*5) * (1+KTDB_발생량도착량_증가율!$G$8*5)</f>
        <v>757.42460687856635</v>
      </c>
      <c r="H31" s="407">
        <f>AF29*(1+KTDB_발생량도착량_증가율!$C$7)*(1+KTDB_발생량도착량_증가율!$D$7*5)*(1+KTDB_발생량도착량_증가율!$E$7*5)*(1+KTDB_발생량도착량_증가율!$F$7*5)*(1+KTDB_발생량도착량_증가율!$G$7*5)</f>
        <v>757.42460687856635</v>
      </c>
      <c r="I31" s="299"/>
      <c r="J31" s="299"/>
      <c r="K31" s="71">
        <f t="shared" si="9"/>
        <v>1430.4901619031657</v>
      </c>
      <c r="L31" s="71">
        <f t="shared" si="8"/>
        <v>1430.4901619031657</v>
      </c>
      <c r="M31" s="71">
        <f t="shared" si="10"/>
        <v>2860.9803238063314</v>
      </c>
      <c r="Y31" t="s">
        <v>135</v>
      </c>
      <c r="Z31" t="s">
        <v>12</v>
      </c>
      <c r="AA31" s="314">
        <f t="shared" si="2"/>
        <v>76.184000000000012</v>
      </c>
      <c r="AB31" s="314">
        <f t="shared" si="2"/>
        <v>76.184000000000012</v>
      </c>
      <c r="AC31" s="314">
        <f t="shared" si="3"/>
        <v>14.876000000000001</v>
      </c>
      <c r="AD31" s="314">
        <f t="shared" si="3"/>
        <v>14.876000000000001</v>
      </c>
      <c r="AE31" s="314">
        <f t="shared" si="4"/>
        <v>102.52800000000001</v>
      </c>
      <c r="AF31" s="314">
        <f t="shared" si="4"/>
        <v>102.52800000000001</v>
      </c>
      <c r="AG31" s="69"/>
      <c r="AH31" s="69"/>
      <c r="AI31" s="69"/>
      <c r="AJ31" s="69"/>
      <c r="AK31" s="69"/>
      <c r="AN31" t="s">
        <v>135</v>
      </c>
      <c r="AO31" t="s">
        <v>12</v>
      </c>
      <c r="AP31" s="314">
        <f t="shared" si="5"/>
        <v>76.184000000000012</v>
      </c>
      <c r="AQ31" s="314">
        <f t="shared" si="5"/>
        <v>76.184000000000012</v>
      </c>
      <c r="AR31" s="314">
        <f t="shared" si="6"/>
        <v>14.876000000000001</v>
      </c>
      <c r="AS31" s="314">
        <f t="shared" si="6"/>
        <v>14.876000000000001</v>
      </c>
      <c r="AT31" s="314">
        <f t="shared" si="7"/>
        <v>102.52800000000001</v>
      </c>
      <c r="AU31" s="314">
        <f t="shared" si="7"/>
        <v>102.52800000000001</v>
      </c>
      <c r="AV31" s="69"/>
      <c r="AW31" s="69"/>
      <c r="AX31" s="69"/>
      <c r="AY31" s="69"/>
      <c r="AZ31" s="69"/>
      <c r="BG31" s="554"/>
      <c r="BH31" s="558"/>
      <c r="BI31" s="46" t="s">
        <v>10</v>
      </c>
      <c r="BJ31" s="46">
        <v>28</v>
      </c>
      <c r="BK31" s="46">
        <v>3.9</v>
      </c>
      <c r="BL31" s="46">
        <v>19.5</v>
      </c>
      <c r="BM31" s="46">
        <v>0</v>
      </c>
      <c r="BN31" s="47">
        <v>48.6</v>
      </c>
      <c r="BP31" s="554"/>
      <c r="BQ31" s="558"/>
      <c r="BR31" s="46" t="s">
        <v>10</v>
      </c>
      <c r="BS31" s="46">
        <v>28.1</v>
      </c>
      <c r="BT31" s="46">
        <v>3.9</v>
      </c>
      <c r="BU31" s="46">
        <v>19.600000000000001</v>
      </c>
      <c r="BV31" s="46">
        <v>0</v>
      </c>
      <c r="BW31" s="47">
        <v>48.4</v>
      </c>
    </row>
    <row r="32" spans="1:75">
      <c r="A32" t="s">
        <v>197</v>
      </c>
      <c r="B32" t="s">
        <v>201</v>
      </c>
      <c r="C32" s="408">
        <f>AA30*(1+KTDB_발생량도착량_증가율!$C$8) * (1+KTDB_발생량도착량_증가율!$D$8*5) * (1+KTDB_발생량도착량_증가율!$E$8*5) * (1+KTDB_발생량도착량_증가율!$F$8*5) * (1+KTDB_발생량도착량_증가율!$G$8*5)</f>
        <v>574.00591420200487</v>
      </c>
      <c r="D32" s="408">
        <f>AB30*(1+KTDB_발생량도착량_증가율!$C$7)*(1+KTDB_발생량도착량_증가율!$D$7*5)*(1+KTDB_발생량도착량_증가율!$E$7*5)*(1+KTDB_발생량도착량_증가율!$F$7*5)*(1+KTDB_발생량도착량_증가율!$G$7*5)</f>
        <v>574.00591420200487</v>
      </c>
      <c r="E32" s="408">
        <f>AC30*(1+KTDB_발생량도착량_증가율!$C$8) * (1+KTDB_발생량도착량_증가율!$D$8*5) * (1+KTDB_발생량도착량_증가율!$E$8*5) * (1+KTDB_발생량도착량_증가율!$F$8*5) * (1+KTDB_발생량도착량_증가율!$G$8*5)</f>
        <v>112.2691500331069</v>
      </c>
      <c r="F32" s="408">
        <f>AD30*(1+KTDB_발생량도착량_증가율!$C$7)*(1+KTDB_발생량도착량_증가율!$D$7*5)*(1+KTDB_발생량도착량_증가율!$E$7*5)*(1+KTDB_발생량도착량_증가율!$F$7*5)*(1+KTDB_발생량도착량_증가율!$G$7*5)</f>
        <v>112.2691500331069</v>
      </c>
      <c r="G32" s="409">
        <f>AE30*(1+KTDB_발생량도착량_증가율!$C$8) * (1+KTDB_발생량도착량_증가율!$D$8*5) * (1+KTDB_발생량도착량_증가율!$E$8*5) * (1+KTDB_발생량도착량_증가율!$F$8*5) * (1+KTDB_발생량도착량_증가율!$G$8*5)</f>
        <v>772.39239435021375</v>
      </c>
      <c r="H32" s="409">
        <f>AF30*(1+KTDB_발생량도착량_증가율!$C$7)*(1+KTDB_발생량도착량_증가율!$D$7*5)*(1+KTDB_발생량도착량_증가율!$E$7*5)*(1+KTDB_발생량도착량_증가율!$F$7*5)*(1+KTDB_발생량도착량_증가율!$G$7*5)</f>
        <v>772.39239435021375</v>
      </c>
      <c r="I32" s="69"/>
      <c r="J32" s="69"/>
      <c r="K32" s="68">
        <f t="shared" si="9"/>
        <v>1458.6674585853257</v>
      </c>
      <c r="L32" s="68">
        <f t="shared" si="8"/>
        <v>1458.6674585853257</v>
      </c>
      <c r="M32" s="68">
        <f t="shared" si="10"/>
        <v>2917.3349171706514</v>
      </c>
      <c r="Y32" t="s">
        <v>136</v>
      </c>
      <c r="Z32" t="s">
        <v>13</v>
      </c>
      <c r="AA32" s="314">
        <f>AA14*$BJ$30*$BF$21</f>
        <v>90.734999999999999</v>
      </c>
      <c r="AB32" s="314">
        <f>AB14*$BJ$30*$BF$21</f>
        <v>90.734999999999999</v>
      </c>
      <c r="AC32" s="314">
        <f>AA14*$BK$30*$BF$21</f>
        <v>6.5549999999999997</v>
      </c>
      <c r="AD32" s="314">
        <f>AB14*$BK$30*$BF$21</f>
        <v>6.5549999999999997</v>
      </c>
      <c r="AE32" s="314">
        <f>AA14*$BL$30*$BF$21</f>
        <v>190.44</v>
      </c>
      <c r="AF32" s="314">
        <f>AB14*$BL$30*$BF$21</f>
        <v>190.44</v>
      </c>
      <c r="AG32" s="68"/>
      <c r="AH32" s="68"/>
      <c r="AI32" s="68"/>
      <c r="AJ32" s="68"/>
      <c r="AK32" s="68"/>
      <c r="AN32" t="s">
        <v>136</v>
      </c>
      <c r="AO32" t="s">
        <v>13</v>
      </c>
      <c r="AP32" s="314">
        <f>AP14*$BJ$30*$BF$21</f>
        <v>90.734999999999999</v>
      </c>
      <c r="AQ32" s="314">
        <f>AQ14*$BJ$30*$BF$21</f>
        <v>90.734999999999999</v>
      </c>
      <c r="AR32" s="314">
        <f>AP14*$BK$30*$BF$21</f>
        <v>6.5549999999999997</v>
      </c>
      <c r="AS32" s="314">
        <f>AQ14*$BK$30*$BF$21</f>
        <v>6.5549999999999997</v>
      </c>
      <c r="AT32" s="314">
        <f>AP14*$BL$30*$BF$21</f>
        <v>190.44</v>
      </c>
      <c r="AU32" s="314">
        <f>AQ14*$BL$30*$BF$21</f>
        <v>190.44</v>
      </c>
      <c r="AV32" s="68"/>
      <c r="AW32" s="68"/>
      <c r="AX32" s="68"/>
      <c r="AY32" s="68"/>
      <c r="AZ32" s="68"/>
      <c r="BG32" s="554"/>
      <c r="BH32" s="559" t="s">
        <v>167</v>
      </c>
      <c r="BI32" s="46" t="s">
        <v>9</v>
      </c>
      <c r="BJ32" s="46">
        <v>31.6</v>
      </c>
      <c r="BK32" s="46">
        <v>6.3</v>
      </c>
      <c r="BL32" s="46">
        <v>52.6</v>
      </c>
      <c r="BM32" s="46">
        <v>0</v>
      </c>
      <c r="BN32" s="47">
        <v>9.5</v>
      </c>
      <c r="BP32" s="554"/>
      <c r="BQ32" s="559" t="s">
        <v>167</v>
      </c>
      <c r="BR32" s="46" t="s">
        <v>9</v>
      </c>
      <c r="BS32" s="46">
        <v>31.6</v>
      </c>
      <c r="BT32" s="46">
        <v>6.3</v>
      </c>
      <c r="BU32" s="46">
        <v>52.7</v>
      </c>
      <c r="BV32" s="46">
        <v>0</v>
      </c>
      <c r="BW32" s="47">
        <v>9.4</v>
      </c>
    </row>
    <row r="33" spans="1:75">
      <c r="A33" t="s">
        <v>135</v>
      </c>
      <c r="B33" t="s">
        <v>12</v>
      </c>
      <c r="C33" s="408">
        <f>AA31*(1+KTDB_발생량도착량_증가율!$C$8) * (1+KTDB_발생량도착량_증가율!$D$8*5) * (1+KTDB_발생량도착량_증가율!$E$8*5) * (1+KTDB_발생량도착량_증가율!$F$8*5) * (1+KTDB_발생량도착량_증가율!$G$8*5)</f>
        <v>71.175701937456537</v>
      </c>
      <c r="D33" s="408">
        <f>AB31*(1+KTDB_발생량도착량_증가율!$C$7)*(1+KTDB_발생량도착량_증가율!$D$7*5)*(1+KTDB_발생량도착량_증가율!$E$7*5)*(1+KTDB_발생량도착량_증가율!$F$7*5)*(1+KTDB_발생량도착량_증가율!$G$7*5)</f>
        <v>71.175701937456537</v>
      </c>
      <c r="E33" s="408">
        <f>AC31*(1+KTDB_발생량도착량_증가율!$C$8) * (1+KTDB_발생량도착량_증가율!$D$8*5) * (1+KTDB_발생량도착량_증가율!$E$8*5) * (1+KTDB_발생량도착량_증가율!$F$8*5) * (1+KTDB_발생량도착량_증가율!$G$8*5)</f>
        <v>13.898059199065464</v>
      </c>
      <c r="F33" s="408">
        <f>AD31*(1+KTDB_발생량도착량_증가율!$C$7)*(1+KTDB_발생량도착량_증가율!$D$7*5)*(1+KTDB_발생량도착량_증가율!$E$7*5)*(1+KTDB_발생량도착량_증가율!$F$7*5)*(1+KTDB_발생량도착량_증가율!$G$7*5)</f>
        <v>13.898059199065464</v>
      </c>
      <c r="G33" s="408">
        <f>AE31*(1+KTDB_발생량도착량_증가율!$C$8) * (1+KTDB_발생량도착량_증가율!$D$8*5) * (1+KTDB_발생량도착량_증가율!$E$8*5) * (1+KTDB_발생량도착량_증가율!$F$8*5) * (1+KTDB_발생량도착량_증가율!$G$8*5)</f>
        <v>95.787860551343371</v>
      </c>
      <c r="H33" s="408">
        <f>AF31*(1+KTDB_발생량도착량_증가율!$C$7)*(1+KTDB_발생량도착량_증가율!$D$7*5)*(1+KTDB_발생량도착량_증가율!$E$7*5)*(1+KTDB_발생량도착량_증가율!$F$7*5)*(1+KTDB_발생량도착량_증가율!$G$7*5)</f>
        <v>95.787860551343371</v>
      </c>
      <c r="I33" s="69"/>
      <c r="J33" s="69"/>
      <c r="K33" s="69">
        <f t="shared" si="9"/>
        <v>180.86162168786535</v>
      </c>
      <c r="L33" s="69">
        <f t="shared" si="8"/>
        <v>180.86162168786535</v>
      </c>
      <c r="M33" s="69">
        <f t="shared" si="10"/>
        <v>361.7232433757307</v>
      </c>
      <c r="Y33" t="s">
        <v>206</v>
      </c>
      <c r="Z33" t="s">
        <v>167</v>
      </c>
      <c r="AA33" s="314">
        <f>AA15*$BJ$32*$BF$21</f>
        <v>416.48800000000006</v>
      </c>
      <c r="AB33" s="314">
        <f>AB15*$BJ$32*$BF$21</f>
        <v>416.48800000000006</v>
      </c>
      <c r="AC33" s="314">
        <f>AA15*$BK$32*$BF$21</f>
        <v>83.033999999999992</v>
      </c>
      <c r="AD33" s="314">
        <f>AB15*$BK$32*$BF$21</f>
        <v>83.033999999999992</v>
      </c>
      <c r="AE33" s="314">
        <f>AA15*$BL$32*$BF$21</f>
        <v>693.26800000000003</v>
      </c>
      <c r="AF33" s="314">
        <f>AB15*$BL$32*$BF$21</f>
        <v>693.26800000000003</v>
      </c>
      <c r="AG33" s="68"/>
      <c r="AH33" s="68"/>
      <c r="AI33" s="68"/>
      <c r="AJ33" s="68"/>
      <c r="AK33" s="68"/>
      <c r="AN33" t="s">
        <v>206</v>
      </c>
      <c r="AO33" t="s">
        <v>167</v>
      </c>
      <c r="AP33" s="314">
        <f>AP15*$BJ$32*$BF$21</f>
        <v>416.48800000000006</v>
      </c>
      <c r="AQ33" s="314">
        <f>AQ15*$BJ$32*$BF$21</f>
        <v>416.48800000000006</v>
      </c>
      <c r="AR33" s="314">
        <f>AP15*$BK$32*$BF$21</f>
        <v>83.033999999999992</v>
      </c>
      <c r="AS33" s="314">
        <f>AQ15*$BK$32*$BF$21</f>
        <v>83.033999999999992</v>
      </c>
      <c r="AT33" s="314">
        <f>AP15*$BL$32*$BF$21</f>
        <v>693.26800000000003</v>
      </c>
      <c r="AU33" s="314">
        <f>AQ15*$BL$32*$BF$21</f>
        <v>693.26800000000003</v>
      </c>
      <c r="AV33" s="68"/>
      <c r="AW33" s="68"/>
      <c r="AX33" s="68"/>
      <c r="AY33" s="68"/>
      <c r="AZ33" s="68"/>
      <c r="BG33" s="554"/>
      <c r="BH33" s="558"/>
      <c r="BI33" s="46" t="s">
        <v>10</v>
      </c>
      <c r="BJ33" s="46">
        <v>35</v>
      </c>
      <c r="BK33" s="46">
        <v>6.8</v>
      </c>
      <c r="BL33" s="46">
        <v>40.9</v>
      </c>
      <c r="BM33" s="46">
        <v>0</v>
      </c>
      <c r="BN33" s="47">
        <v>17.3</v>
      </c>
      <c r="BP33" s="554"/>
      <c r="BQ33" s="558"/>
      <c r="BR33" s="46" t="s">
        <v>10</v>
      </c>
      <c r="BS33" s="46">
        <v>35</v>
      </c>
      <c r="BT33" s="46">
        <v>6.8</v>
      </c>
      <c r="BU33" s="46">
        <v>40.9</v>
      </c>
      <c r="BV33" s="46">
        <v>0</v>
      </c>
      <c r="BW33" s="47">
        <v>17.3</v>
      </c>
    </row>
    <row r="34" spans="1:75">
      <c r="A34" t="s">
        <v>611</v>
      </c>
      <c r="B34" t="s">
        <v>13</v>
      </c>
      <c r="C34" s="409">
        <f>AA32*(1+KTDB_발생량도착량_증가율!$C$8) * (1+KTDB_발생량도착량_증가율!$D$8*5) * (1+KTDB_발생량도착량_증가율!$E$8*5) * (1+KTDB_발생량도착량_증가율!$F$8*5) * (1+KTDB_발생량도착량_증가율!$G$8*5)</f>
        <v>84.770126473998715</v>
      </c>
      <c r="D34" s="409">
        <f>AB32*(1+KTDB_발생량도착량_증가율!$C$7)*(1+KTDB_발생량도착량_증가율!$D$7*5)*(1+KTDB_발생량도착량_증가율!$E$7*5)*(1+KTDB_발생량도착량_증가율!$F$7*5)*(1+KTDB_발생량도착량_증가율!$G$7*5)</f>
        <v>84.770126473998715</v>
      </c>
      <c r="E34" s="408">
        <f>AC32*(1+KTDB_발생량도착량_증가율!$C$8) * (1+KTDB_발생량도착량_증가율!$D$8*5) * (1+KTDB_발생량도착량_증가율!$E$8*5) * (1+KTDB_발생량도착량_증가율!$F$8*5) * (1+KTDB_발생량도착량_증가율!$G$8*5)</f>
        <v>6.1240775779694889</v>
      </c>
      <c r="F34" s="408">
        <f>AD32*(1+KTDB_발생량도착량_증가율!$C$7)*(1+KTDB_발생량도착량_증가율!$D$7*5)*(1+KTDB_발생량도착량_증가율!$E$7*5)*(1+KTDB_발생량도착량_증가율!$F$7*5)*(1+KTDB_발생량도착량_증가율!$G$7*5)</f>
        <v>6.1240775779694889</v>
      </c>
      <c r="G34" s="408">
        <f>AE32*(1+KTDB_발생량도착량_증가율!$C$8) * (1+KTDB_발생량도착량_증가율!$D$8*5) * (1+KTDB_발생량도착량_증가율!$E$8*5) * (1+KTDB_발생량도착량_증가율!$F$8*5) * (1+KTDB_발생량도착량_증가율!$G$8*5)</f>
        <v>177.92056963363987</v>
      </c>
      <c r="H34" s="408">
        <f>AF32*(1+KTDB_발생량도착량_증가율!$C$7)*(1+KTDB_발생량도착량_증가율!$D$7*5)*(1+KTDB_발생량도착량_증가율!$E$7*5)*(1+KTDB_발생량도착량_증가율!$F$7*5)*(1+KTDB_발생량도착량_증가율!$G$7*5)</f>
        <v>177.92056963363987</v>
      </c>
      <c r="I34" s="68"/>
      <c r="J34" s="68"/>
      <c r="K34" s="68">
        <f t="shared" si="9"/>
        <v>268.81477368560809</v>
      </c>
      <c r="L34" s="68">
        <f t="shared" si="8"/>
        <v>268.81477368560809</v>
      </c>
      <c r="M34" s="68">
        <f t="shared" si="10"/>
        <v>537.62954737121618</v>
      </c>
      <c r="Y34" t="s">
        <v>207</v>
      </c>
      <c r="Z34" t="s">
        <v>168</v>
      </c>
      <c r="AA34" s="314">
        <f>AA16*$BJ$34*$BF$21</f>
        <v>1631.8500000000001</v>
      </c>
      <c r="AB34" s="314">
        <f>AB16*$BJ$34*$BF$21</f>
        <v>1631.8500000000001</v>
      </c>
      <c r="AC34" s="314">
        <f>AA16*$BK$34*$BF$21</f>
        <v>351.09500000000003</v>
      </c>
      <c r="AD34" s="314">
        <f>AB16*$BK$34*$BF$21</f>
        <v>351.09500000000003</v>
      </c>
      <c r="AE34" s="314">
        <f>AA16*$BL$34*$BF$21</f>
        <v>2546.6750000000002</v>
      </c>
      <c r="AF34" s="314">
        <f>AB16*$BL$34*$BF$21</f>
        <v>2546.6750000000002</v>
      </c>
      <c r="AG34" s="68"/>
      <c r="AH34" s="68"/>
      <c r="AI34" s="68"/>
      <c r="AJ34" s="68"/>
      <c r="AK34" s="68"/>
      <c r="AN34" t="s">
        <v>207</v>
      </c>
      <c r="AO34" t="s">
        <v>168</v>
      </c>
      <c r="AP34" s="314">
        <f>AP16*$BJ$34*$BF$21</f>
        <v>1631.8500000000001</v>
      </c>
      <c r="AQ34" s="314">
        <f>AQ16*$BJ$34*$BF$21</f>
        <v>1631.8500000000001</v>
      </c>
      <c r="AR34" s="314">
        <f>AP16*$BK$34*$BF$21</f>
        <v>351.09500000000003</v>
      </c>
      <c r="AS34" s="314">
        <f>AQ16*$BK$34*$BF$21</f>
        <v>351.09500000000003</v>
      </c>
      <c r="AT34" s="314">
        <f>AP16*$BL$34*$BF$21</f>
        <v>2546.6750000000002</v>
      </c>
      <c r="AU34" s="314">
        <f>AQ16*$BL$34*$BF$21</f>
        <v>2546.6750000000002</v>
      </c>
      <c r="AV34" s="68"/>
      <c r="AW34" s="68"/>
      <c r="AX34" s="68"/>
      <c r="AY34" s="68"/>
      <c r="AZ34" s="68"/>
      <c r="BG34" s="554"/>
      <c r="BH34" s="559" t="s">
        <v>168</v>
      </c>
      <c r="BI34" s="46" t="s">
        <v>9</v>
      </c>
      <c r="BJ34" s="46">
        <v>33</v>
      </c>
      <c r="BK34" s="46">
        <v>7.1</v>
      </c>
      <c r="BL34" s="46">
        <v>51.5</v>
      </c>
      <c r="BM34" s="46">
        <v>0</v>
      </c>
      <c r="BN34" s="47">
        <v>8.4</v>
      </c>
      <c r="BP34" s="554"/>
      <c r="BQ34" s="559" t="s">
        <v>168</v>
      </c>
      <c r="BR34" s="46" t="s">
        <v>9</v>
      </c>
      <c r="BS34" s="46">
        <v>33</v>
      </c>
      <c r="BT34" s="46">
        <v>7.1</v>
      </c>
      <c r="BU34" s="46">
        <v>51.6</v>
      </c>
      <c r="BV34" s="46">
        <v>0</v>
      </c>
      <c r="BW34" s="47">
        <v>8.3000000000000007</v>
      </c>
    </row>
    <row r="35" spans="1:75">
      <c r="A35" t="s">
        <v>612</v>
      </c>
      <c r="B35" t="s">
        <v>167</v>
      </c>
      <c r="C35" s="409">
        <f>AA33*(1+KTDB_발생량도착량_증가율!$C$8) * (1+KTDB_발생량도착량_증가율!$D$8*5) * (1+KTDB_발생량도착량_증가율!$E$8*5) * (1+KTDB_발생량도착량_증가율!$F$8*5) * (1+KTDB_발생량도착량_증가율!$G$8*5)</f>
        <v>389.10828715383019</v>
      </c>
      <c r="D35" s="409">
        <f>AB33*(1+KTDB_발생량도착량_증가율!$C$7)*(1+KTDB_발생량도착량_증가율!$D$7*5)*(1+KTDB_발생량도착량_증가율!$E$7*5)*(1+KTDB_발생량도착량_증가율!$F$7*5)*(1+KTDB_발생량도착량_증가율!$G$7*5)</f>
        <v>389.10828715383019</v>
      </c>
      <c r="E35" s="408">
        <f>AC33*(1+KTDB_발생량도착량_증가율!$C$8) * (1+KTDB_발생량도착량_증가율!$D$8*5) * (1+KTDB_발생량도착량_증가율!$E$8*5) * (1+KTDB_발생량도착량_증가율!$F$8*5) * (1+KTDB_발생량도착량_증가율!$G$8*5)</f>
        <v>77.575386362947128</v>
      </c>
      <c r="F35" s="408">
        <f>AD33*(1+KTDB_발생량도착량_증가율!$C$7)*(1+KTDB_발생량도착량_증가율!$D$7*5)*(1+KTDB_발생량도착량_증가율!$E$7*5)*(1+KTDB_발생량도착량_증가율!$F$7*5)*(1+KTDB_발생량도착량_증가율!$G$7*5)</f>
        <v>77.575386362947128</v>
      </c>
      <c r="G35" s="409">
        <f>AE33*(1+KTDB_발생량도착량_증가율!$C$8) * (1+KTDB_발생량도착량_증가율!$D$8*5) * (1+KTDB_발생량도착량_증가율!$E$8*5) * (1+KTDB_발생량도착량_증가율!$F$8*5) * (1+KTDB_발생량도착량_증가율!$G$8*5)</f>
        <v>647.69290836365394</v>
      </c>
      <c r="H35" s="409">
        <f>AF33*(1+KTDB_발생량도착량_증가율!$C$7)*(1+KTDB_발생량도착량_증가율!$D$7*5)*(1+KTDB_발생량도착량_증가율!$E$7*5)*(1+KTDB_발생량도착량_증가율!$F$7*5)*(1+KTDB_발생량도착량_증가율!$G$7*5)</f>
        <v>647.69290836365394</v>
      </c>
      <c r="I35" s="68"/>
      <c r="J35" s="68"/>
      <c r="K35" s="68">
        <f t="shared" si="9"/>
        <v>1114.3765818804313</v>
      </c>
      <c r="L35" s="68">
        <f t="shared" si="8"/>
        <v>1114.3765818804313</v>
      </c>
      <c r="M35" s="68">
        <f t="shared" si="10"/>
        <v>2228.7531637608627</v>
      </c>
      <c r="Y35" t="s">
        <v>208</v>
      </c>
      <c r="Z35" t="s">
        <v>47</v>
      </c>
      <c r="AA35" s="314">
        <f>AA17*$BJ$36*$BF$21</f>
        <v>312.06399999999996</v>
      </c>
      <c r="AB35" s="314">
        <f>AB17*$BJ$36*$BF$21</f>
        <v>312.06399999999996</v>
      </c>
      <c r="AC35" s="314">
        <f>AA17*$BK$36*$BF$21</f>
        <v>82.255999999999986</v>
      </c>
      <c r="AD35" s="314">
        <f>AB17*$BK$36*$BF$21</f>
        <v>82.255999999999986</v>
      </c>
      <c r="AE35" s="314">
        <f>AA17*$BL$36*$BF$21</f>
        <v>294.25600000000003</v>
      </c>
      <c r="AF35" s="314">
        <f>AB17*$BL$36*$BF$21</f>
        <v>294.25600000000003</v>
      </c>
      <c r="AG35" s="69"/>
      <c r="AH35" s="69"/>
      <c r="AI35" s="68"/>
      <c r="AJ35" s="68"/>
      <c r="AK35" s="68"/>
      <c r="AN35" t="s">
        <v>208</v>
      </c>
      <c r="AO35" t="s">
        <v>47</v>
      </c>
      <c r="AP35" s="314">
        <f>AP17*$BJ$36*$BF$21</f>
        <v>312.06399999999996</v>
      </c>
      <c r="AQ35" s="314">
        <f>AQ17*$BJ$36*$BF$21</f>
        <v>312.06399999999996</v>
      </c>
      <c r="AR35" s="314">
        <f>AP17*$BK$36*$BF$21</f>
        <v>82.255999999999986</v>
      </c>
      <c r="AS35" s="314">
        <f>AQ17*$BK$36*$BF$21</f>
        <v>82.255999999999986</v>
      </c>
      <c r="AT35" s="314">
        <f>AP17*$BL$36*$BF$21</f>
        <v>294.25600000000003</v>
      </c>
      <c r="AU35" s="314">
        <f>AQ17*$BL$36*$BF$21</f>
        <v>294.25600000000003</v>
      </c>
      <c r="AV35" s="69"/>
      <c r="AW35" s="69"/>
      <c r="AX35" s="68"/>
      <c r="AY35" s="68"/>
      <c r="AZ35" s="68"/>
      <c r="BG35" s="554"/>
      <c r="BH35" s="558"/>
      <c r="BI35" s="46" t="s">
        <v>10</v>
      </c>
      <c r="BJ35" s="46">
        <v>31.4</v>
      </c>
      <c r="BK35" s="46">
        <v>7.3</v>
      </c>
      <c r="BL35" s="46">
        <v>54.1</v>
      </c>
      <c r="BM35" s="46">
        <v>0</v>
      </c>
      <c r="BN35" s="47">
        <v>7.2</v>
      </c>
      <c r="BP35" s="554"/>
      <c r="BQ35" s="558"/>
      <c r="BR35" s="46" t="s">
        <v>10</v>
      </c>
      <c r="BS35" s="46">
        <v>31.4</v>
      </c>
      <c r="BT35" s="46">
        <v>7.3</v>
      </c>
      <c r="BU35" s="46">
        <v>54.2</v>
      </c>
      <c r="BV35" s="46">
        <v>0</v>
      </c>
      <c r="BW35" s="47">
        <v>7.1</v>
      </c>
    </row>
    <row r="36" spans="1:75">
      <c r="A36" t="s">
        <v>613</v>
      </c>
      <c r="B36" t="s">
        <v>168</v>
      </c>
      <c r="C36" s="409">
        <f>AA34*(1+KTDB_발생량도착량_증가율!$C$8) * (1+KTDB_발생량도착량_증가율!$D$8*5) * (1+KTDB_발생량도착량_증가율!$E$8*5) * (1+KTDB_발생량도착량_증가율!$F$8*5) * (1+KTDB_발생량도착량_증가율!$G$8*5)</f>
        <v>1524.5729970418781</v>
      </c>
      <c r="D36" s="409">
        <f>AB34*(1+KTDB_발생량도착량_증가율!$C$7)*(1+KTDB_발생량도착량_증가율!$D$7*5)*(1+KTDB_발생량도착량_증가율!$E$7*5)*(1+KTDB_발생량도착량_증가율!$F$7*5)*(1+KTDB_발생량도착량_증가율!$G$7*5)</f>
        <v>1524.5729970418781</v>
      </c>
      <c r="E36" s="408">
        <f>AC34*(1+KTDB_발생량도착량_증가율!$C$8) * (1+KTDB_발생량도착량_증가율!$D$8*5) * (1+KTDB_발생량도착량_증가율!$E$8*5) * (1+KTDB_발생량도착량_증가율!$F$8*5) * (1+KTDB_발생량도착량_증가율!$G$8*5)</f>
        <v>328.01419027264654</v>
      </c>
      <c r="F36" s="408">
        <f>AD34*(1+KTDB_발생량도착량_증가율!$C$7)*(1+KTDB_발생량도착량_증가율!$D$7*5)*(1+KTDB_발생량도착량_증가율!$E$7*5)*(1+KTDB_발생량도착량_증가율!$F$7*5)*(1+KTDB_발생량도착량_증가율!$G$7*5)</f>
        <v>328.01419027264654</v>
      </c>
      <c r="G36" s="409">
        <f>AE34*(1+KTDB_발생량도착량_증가율!$C$8) * (1+KTDB_발생량도착량_증가율!$D$8*5) * (1+KTDB_발생량도착량_증가율!$E$8*5) * (1+KTDB_발생량도착량_증가율!$F$8*5) * (1+KTDB_발생량도착량_증가율!$G$8*5)</f>
        <v>2379.2578590199009</v>
      </c>
      <c r="H36" s="409">
        <f>AF34*(1+KTDB_발생량도착량_증가율!$C$7)*(1+KTDB_발생량도착량_증가율!$D$7*5)*(1+KTDB_발생량도착량_증가율!$E$7*5)*(1+KTDB_발생량도착량_증가율!$F$7*5)*(1+KTDB_발생량도착량_증가율!$G$7*5)</f>
        <v>2379.2578590199009</v>
      </c>
      <c r="I36" s="68"/>
      <c r="J36" s="68"/>
      <c r="K36" s="68">
        <f t="shared" si="9"/>
        <v>4231.8450463344252</v>
      </c>
      <c r="L36" s="68">
        <f t="shared" si="8"/>
        <v>4231.8450463344252</v>
      </c>
      <c r="M36" s="68">
        <f t="shared" si="10"/>
        <v>8463.6900926688504</v>
      </c>
      <c r="Y36" t="s">
        <v>209</v>
      </c>
      <c r="Z36" t="s">
        <v>169</v>
      </c>
      <c r="AA36" s="314">
        <f>AA18*$BJ$38*$BF$21</f>
        <v>532.78</v>
      </c>
      <c r="AB36" s="314">
        <f>AB18*$BJ$38*$BF$21</f>
        <v>532.78</v>
      </c>
      <c r="AC36" s="314">
        <f>AA18*$BK$38*$BF$21</f>
        <v>111.25699999999999</v>
      </c>
      <c r="AD36" s="314">
        <f>AB18*$BK$38*$BF$21</f>
        <v>111.25699999999999</v>
      </c>
      <c r="AE36" s="314">
        <f>AA18*$BL$38*$BF$21</f>
        <v>460.69799999999998</v>
      </c>
      <c r="AF36" s="314">
        <f>AB18*$BL$38*$BF$21</f>
        <v>460.69799999999998</v>
      </c>
      <c r="AG36" s="68"/>
      <c r="AH36" s="68"/>
      <c r="AI36" s="68"/>
      <c r="AJ36" s="68"/>
      <c r="AK36" s="68"/>
      <c r="AN36" t="s">
        <v>209</v>
      </c>
      <c r="AO36" t="s">
        <v>169</v>
      </c>
      <c r="AP36" s="314">
        <f>AP18*$BJ$38*$BF$21</f>
        <v>532.78</v>
      </c>
      <c r="AQ36" s="314">
        <f>AQ18*$BJ$38*$BF$21</f>
        <v>532.78</v>
      </c>
      <c r="AR36" s="314">
        <f>AP18*$BK$38*$BF$21</f>
        <v>111.25699999999999</v>
      </c>
      <c r="AS36" s="314">
        <f>AQ18*$BK$38*$BF$21</f>
        <v>111.25699999999999</v>
      </c>
      <c r="AT36" s="314">
        <f>AP18*$BL$38*$BF$21</f>
        <v>460.69799999999998</v>
      </c>
      <c r="AU36" s="314">
        <f>AQ18*$BL$38*$BF$21</f>
        <v>460.69799999999998</v>
      </c>
      <c r="AV36" s="68"/>
      <c r="AW36" s="68"/>
      <c r="AX36" s="68"/>
      <c r="AY36" s="68"/>
      <c r="AZ36" s="68"/>
      <c r="BG36" s="554"/>
      <c r="BH36" s="559" t="s">
        <v>47</v>
      </c>
      <c r="BI36" s="46" t="s">
        <v>9</v>
      </c>
      <c r="BJ36" s="46">
        <v>36.799999999999997</v>
      </c>
      <c r="BK36" s="46">
        <v>9.6999999999999993</v>
      </c>
      <c r="BL36" s="46">
        <v>34.700000000000003</v>
      </c>
      <c r="BM36" s="46">
        <v>0</v>
      </c>
      <c r="BN36" s="47">
        <v>18.8</v>
      </c>
      <c r="BP36" s="554"/>
      <c r="BQ36" s="559" t="s">
        <v>47</v>
      </c>
      <c r="BR36" s="46" t="s">
        <v>9</v>
      </c>
      <c r="BS36" s="46">
        <v>36.799999999999997</v>
      </c>
      <c r="BT36" s="46">
        <v>9.6999999999999993</v>
      </c>
      <c r="BU36" s="46">
        <v>34.700000000000003</v>
      </c>
      <c r="BV36" s="46">
        <v>0</v>
      </c>
      <c r="BW36" s="47">
        <v>18.8</v>
      </c>
    </row>
    <row r="37" spans="1:75" ht="17" customHeight="1">
      <c r="A37" t="s">
        <v>614</v>
      </c>
      <c r="B37" t="s">
        <v>47</v>
      </c>
      <c r="C37" s="409">
        <f>AA35*(1+KTDB_발생량도착량_증가율!$C$8) * (1+KTDB_발생량도착량_증가율!$D$8*5) * (1+KTDB_발생량도착량_증가율!$E$8*5) * (1+KTDB_발생량도착량_증가율!$F$8*5) * (1+KTDB_발생량도착량_증가율!$G$8*5)</f>
        <v>291.54906869435092</v>
      </c>
      <c r="D37" s="409">
        <f>AB35*(1+KTDB_발생량도착량_증가율!$C$7)*(1+KTDB_발생량도착량_증가율!$D$7*5)*(1+KTDB_발생량도착량_증가율!$E$7*5)*(1+KTDB_발생량도착량_증가율!$F$7*5)*(1+KTDB_발생량도착량_증가율!$G$7*5)</f>
        <v>291.54906869435092</v>
      </c>
      <c r="E37" s="408">
        <f>AC35*(1+KTDB_발생량도착량_증가율!$C$8) * (1+KTDB_발생량도착량_증가율!$D$8*5) * (1+KTDB_발생량도착량_증가율!$E$8*5) * (1+KTDB_발생량도착량_증가율!$F$8*5) * (1+KTDB_발생량도착량_증가율!$G$8*5)</f>
        <v>76.848531693891402</v>
      </c>
      <c r="F37" s="408">
        <f>AD35*(1+KTDB_발생량도착량_증가율!$C$7)*(1+KTDB_발생량도착량_증가율!$D$7*5)*(1+KTDB_발생량도착량_증가율!$E$7*5)*(1+KTDB_발생량도착량_증가율!$F$7*5)*(1+KTDB_발생량도착량_증가율!$G$7*5)</f>
        <v>76.848531693891402</v>
      </c>
      <c r="G37" s="409">
        <f>AE35*(1+KTDB_발생량도착량_증가율!$C$8) * (1+KTDB_발생량도착량_증가율!$D$8*5) * (1+KTDB_발생량도착량_증가율!$E$8*5) * (1+KTDB_발생량도착량_증가율!$F$8*5) * (1+KTDB_발생량도착량_증가율!$G$8*5)</f>
        <v>274.91175770907557</v>
      </c>
      <c r="H37" s="409">
        <f>AF35*(1+KTDB_발생량도착량_증가율!$C$7)*(1+KTDB_발생량도착량_증가율!$D$7*5)*(1+KTDB_발생량도착량_증가율!$E$7*5)*(1+KTDB_발생량도착량_증가율!$F$7*5)*(1+KTDB_발생량도착량_증가율!$G$7*5)</f>
        <v>274.91175770907557</v>
      </c>
      <c r="I37" s="69"/>
      <c r="J37" s="69"/>
      <c r="K37" s="68">
        <f t="shared" si="9"/>
        <v>643.30935809731795</v>
      </c>
      <c r="L37" s="68">
        <f t="shared" si="8"/>
        <v>643.30935809731795</v>
      </c>
      <c r="M37" s="68">
        <f t="shared" si="10"/>
        <v>1286.6187161946359</v>
      </c>
      <c r="P37" s="56"/>
      <c r="Q37" s="56"/>
      <c r="R37" s="56"/>
      <c r="S37" s="56"/>
      <c r="T37" s="301"/>
      <c r="U37" s="301"/>
      <c r="V37" s="56"/>
      <c r="W37" s="56"/>
      <c r="X37" s="56"/>
      <c r="Y37" t="s">
        <v>210</v>
      </c>
      <c r="Z37" t="s">
        <v>170</v>
      </c>
      <c r="AA37" s="314">
        <f>AA19*$BJ$40*$BF$21</f>
        <v>440.64</v>
      </c>
      <c r="AB37" s="314">
        <f>AB19*$BJ$40*$BF$21</f>
        <v>440.64</v>
      </c>
      <c r="AC37" s="314">
        <f>AA19*$BK$40*$BF$21</f>
        <v>92.016000000000005</v>
      </c>
      <c r="AD37" s="314">
        <f>AB19*$BK$40*$BF$21</f>
        <v>92.016000000000005</v>
      </c>
      <c r="AE37" s="314">
        <f>AA19*$BL$40*$BF$21</f>
        <v>381.024</v>
      </c>
      <c r="AF37" s="314">
        <f>AB19*$BL$40*$BF$21</f>
        <v>381.024</v>
      </c>
      <c r="AG37" s="68"/>
      <c r="AH37" s="68"/>
      <c r="AI37" s="68"/>
      <c r="AJ37" s="68"/>
      <c r="AK37" s="68"/>
      <c r="AN37" t="s">
        <v>210</v>
      </c>
      <c r="AO37" t="s">
        <v>170</v>
      </c>
      <c r="AP37" s="314">
        <f>AP19*$BJ$40*$BF$21</f>
        <v>440.64</v>
      </c>
      <c r="AQ37" s="314">
        <f>AQ19*$BJ$40*$BF$21</f>
        <v>440.64</v>
      </c>
      <c r="AR37" s="314">
        <f>AP19*$BK$40*$BF$21</f>
        <v>92.016000000000005</v>
      </c>
      <c r="AS37" s="314">
        <f>AQ19*$BK$40*$BF$21</f>
        <v>92.016000000000005</v>
      </c>
      <c r="AT37" s="314">
        <f>AP19*$BL$40*$BF$21</f>
        <v>381.024</v>
      </c>
      <c r="AU37" s="314">
        <f>AQ19*$BL$40*$BF$21</f>
        <v>381.024</v>
      </c>
      <c r="AV37" s="68"/>
      <c r="AW37" s="68"/>
      <c r="AX37" s="68"/>
      <c r="AY37" s="68"/>
      <c r="AZ37" s="68"/>
      <c r="BG37" s="554"/>
      <c r="BH37" s="558"/>
      <c r="BI37" s="46" t="s">
        <v>10</v>
      </c>
      <c r="BJ37" s="46">
        <v>34.6</v>
      </c>
      <c r="BK37" s="46">
        <v>9.5</v>
      </c>
      <c r="BL37" s="46">
        <v>35.700000000000003</v>
      </c>
      <c r="BM37" s="46">
        <v>0</v>
      </c>
      <c r="BN37" s="47">
        <v>20.2</v>
      </c>
      <c r="BP37" s="554"/>
      <c r="BQ37" s="558"/>
      <c r="BR37" s="46" t="s">
        <v>10</v>
      </c>
      <c r="BS37" s="46">
        <v>34.6</v>
      </c>
      <c r="BT37" s="46">
        <v>9.5</v>
      </c>
      <c r="BU37" s="46">
        <v>35.799999999999997</v>
      </c>
      <c r="BV37" s="46">
        <v>0</v>
      </c>
      <c r="BW37" s="47">
        <v>20.100000000000001</v>
      </c>
    </row>
    <row r="38" spans="1:75">
      <c r="A38" t="s">
        <v>615</v>
      </c>
      <c r="B38" t="s">
        <v>169</v>
      </c>
      <c r="C38" s="409">
        <f>AA36*(1+KTDB_발생량도착량_증가율!$C$8) * (1+KTDB_발생량도착량_증가율!$D$8*5) * (1+KTDB_발생량도착량_증가율!$E$8*5) * (1+KTDB_발생량도착량_증가율!$F$8*5) * (1+KTDB_발생량도착량_증가율!$G$8*5)</f>
        <v>497.75530922815938</v>
      </c>
      <c r="D38" s="409">
        <f>AB36*(1+KTDB_발생량도착량_증가율!$C$7)*(1+KTDB_발생량도착량_증가율!$D$7*5)*(1+KTDB_발생량도착량_증가율!$E$7*5)*(1+KTDB_발생량도착량_증가율!$F$7*5)*(1+KTDB_발생량도착량_증가율!$G$7*5)</f>
        <v>497.75530922815938</v>
      </c>
      <c r="E38" s="408">
        <f>AC36*(1+KTDB_발생량도착량_증가율!$C$8) * (1+KTDB_발생량도착량_증가율!$D$8*5) * (1+KTDB_발생량도착량_증가율!$E$8*5) * (1+KTDB_발생량도착량_증가율!$F$8*5) * (1+KTDB_발생량도착량_증가율!$G$8*5)</f>
        <v>103.94302045646855</v>
      </c>
      <c r="F38" s="408">
        <f>AD36*(1+KTDB_발생량도착량_증가율!$C$7)*(1+KTDB_발생량도착량_증가율!$D$7*5)*(1+KTDB_발생량도착량_증가율!$E$7*5)*(1+KTDB_발생량도착량_증가율!$F$7*5)*(1+KTDB_발생량도착량_증가율!$G$7*5)</f>
        <v>103.94302045646855</v>
      </c>
      <c r="G38" s="409">
        <f>AE36*(1+KTDB_발생량도착량_증가율!$C$8) * (1+KTDB_발생량도착량_증가율!$D$8*5) * (1+KTDB_발생량도착량_증가율!$E$8*5) * (1+KTDB_발생량도착량_증가율!$F$8*5) * (1+KTDB_발생량도착량_증가율!$G$8*5)</f>
        <v>430.41194386199658</v>
      </c>
      <c r="H38" s="409">
        <f>AF36*(1+KTDB_발생량도착량_증가율!$C$7)*(1+KTDB_발생량도착량_증가율!$D$7*5)*(1+KTDB_발생량도착량_증가율!$E$7*5)*(1+KTDB_발생량도착량_증가율!$F$7*5)*(1+KTDB_발생량도착량_증가율!$G$7*5)</f>
        <v>430.41194386199658</v>
      </c>
      <c r="I38" s="68"/>
      <c r="J38" s="68"/>
      <c r="K38" s="68">
        <f t="shared" si="9"/>
        <v>1032.1102735466245</v>
      </c>
      <c r="L38" s="68">
        <f t="shared" si="8"/>
        <v>1032.1102735466245</v>
      </c>
      <c r="M38" s="68">
        <f t="shared" si="10"/>
        <v>2064.220547093249</v>
      </c>
      <c r="P38" s="56"/>
      <c r="Q38" s="56"/>
      <c r="R38" s="56"/>
      <c r="S38" s="56"/>
      <c r="T38" s="301"/>
      <c r="U38" s="301"/>
      <c r="V38" s="56"/>
      <c r="W38" s="56"/>
      <c r="X38" s="56"/>
      <c r="Y38" t="s">
        <v>211</v>
      </c>
      <c r="Z38" t="s">
        <v>171</v>
      </c>
      <c r="AA38" s="314">
        <f>AA20*$BJ$42*$BF$21</f>
        <v>11.572000000000001</v>
      </c>
      <c r="AB38" s="314">
        <f>AB20*$BJ$42*$BF$21</f>
        <v>11.572000000000001</v>
      </c>
      <c r="AC38" s="314">
        <f>AA20*$BK$42*$BF$21</f>
        <v>0.83599999999999997</v>
      </c>
      <c r="AD38" s="314">
        <f>AB20*$BK$42*$BF$21</f>
        <v>0.83599999999999997</v>
      </c>
      <c r="AE38" s="314">
        <f>AA20*$BL$42*$BF$21</f>
        <v>24.288000000000004</v>
      </c>
      <c r="AF38" s="314">
        <f>AB20*$BL$42*$BF$21</f>
        <v>24.288000000000004</v>
      </c>
      <c r="AG38" s="69"/>
      <c r="AH38" s="69"/>
      <c r="AI38" s="69"/>
      <c r="AJ38" s="69"/>
      <c r="AK38" s="69"/>
      <c r="AN38" t="s">
        <v>211</v>
      </c>
      <c r="AO38" t="s">
        <v>171</v>
      </c>
      <c r="AP38" s="314">
        <f>AP20*$BJ$42*$BF$21</f>
        <v>11.572000000000001</v>
      </c>
      <c r="AQ38" s="314">
        <f>AQ20*$BJ$42*$BF$21</f>
        <v>11.572000000000001</v>
      </c>
      <c r="AR38" s="314">
        <f>AP20*$BK$42*$BF$21</f>
        <v>0.83599999999999997</v>
      </c>
      <c r="AS38" s="314">
        <f>AQ20*$BK$42*$BF$21</f>
        <v>0.83599999999999997</v>
      </c>
      <c r="AT38" s="314">
        <f>AP20*$BL$42*$BF$21</f>
        <v>24.288000000000004</v>
      </c>
      <c r="AU38" s="314">
        <f>AQ20*$BL$42*$BF$21</f>
        <v>24.288000000000004</v>
      </c>
      <c r="AV38" s="69"/>
      <c r="AW38" s="69"/>
      <c r="AX38" s="69"/>
      <c r="AY38" s="69"/>
      <c r="AZ38" s="69"/>
      <c r="BG38" s="554"/>
      <c r="BH38" s="559" t="s">
        <v>169</v>
      </c>
      <c r="BI38" s="46" t="s">
        <v>9</v>
      </c>
      <c r="BJ38" s="46">
        <v>34</v>
      </c>
      <c r="BK38" s="46">
        <v>7.1</v>
      </c>
      <c r="BL38" s="46">
        <v>29.4</v>
      </c>
      <c r="BM38" s="46">
        <v>0</v>
      </c>
      <c r="BN38" s="47">
        <v>29.5</v>
      </c>
      <c r="BP38" s="554"/>
      <c r="BQ38" s="559" t="s">
        <v>169</v>
      </c>
      <c r="BR38" s="46" t="s">
        <v>9</v>
      </c>
      <c r="BS38" s="46">
        <v>34</v>
      </c>
      <c r="BT38" s="46">
        <v>7.1</v>
      </c>
      <c r="BU38" s="46">
        <v>29.5</v>
      </c>
      <c r="BV38" s="46">
        <v>0</v>
      </c>
      <c r="BW38" s="47">
        <v>29.4</v>
      </c>
    </row>
    <row r="39" spans="1:75" ht="17" customHeight="1">
      <c r="A39" t="s">
        <v>616</v>
      </c>
      <c r="B39" t="s">
        <v>170</v>
      </c>
      <c r="C39" s="409">
        <f>AA37*(1+KTDB_발생량도착량_증가율!$C$8) * (1+KTDB_발생량도착량_증가율!$D$8*5) * (1+KTDB_발생량도착량_증가율!$E$8*5) * (1+KTDB_발생량도착량_증가율!$F$8*5) * (1+KTDB_발생량도착량_증가율!$G$8*5)</f>
        <v>411.67254675155993</v>
      </c>
      <c r="D39" s="409">
        <f>AB37*(1+KTDB_발생량도착량_증가율!$C$7)*(1+KTDB_발생량도착량_증가율!$D$7*5)*(1+KTDB_발생량도착량_증가율!$E$7*5)*(1+KTDB_발생량도착량_증가율!$F$7*5)*(1+KTDB_발생량도착량_증가율!$G$7*5)</f>
        <v>411.67254675155993</v>
      </c>
      <c r="E39" s="409">
        <f>AC37*(1+KTDB_발생량도착량_증가율!$C$8) * (1+KTDB_발생량도착량_증가율!$D$8*5) * (1+KTDB_발생량도착량_증가율!$E$8*5) * (1+KTDB_발생량도착량_증가율!$F$8*5) * (1+KTDB_발생량도착량_증가율!$G$8*5)</f>
        <v>85.966914174590471</v>
      </c>
      <c r="F39" s="409">
        <f>AD37*(1+KTDB_발생량도착량_증가율!$C$7)*(1+KTDB_발생량도착량_증가율!$D$7*5)*(1+KTDB_발생량도착량_증가율!$E$7*5)*(1+KTDB_발생량도착량_증가율!$F$7*5)*(1+KTDB_발생량도착량_증가율!$G$7*5)</f>
        <v>85.966914174590471</v>
      </c>
      <c r="G39" s="409">
        <f>AE37*(1+KTDB_발생량도착량_증가율!$C$8) * (1+KTDB_발생량도착량_증가율!$D$8*5) * (1+KTDB_발생량도착량_증가율!$E$8*5) * (1+KTDB_발생량도착량_증가율!$F$8*5) * (1+KTDB_발생량도착량_증가율!$G$8*5)</f>
        <v>355.97567277929005</v>
      </c>
      <c r="H39" s="409">
        <f>AF37*(1+KTDB_발생량도착량_증가율!$C$7)*(1+KTDB_발생량도착량_증가율!$D$7*5)*(1+KTDB_발생량도착량_증가율!$E$7*5)*(1+KTDB_발생량도착량_증가율!$F$7*5)*(1+KTDB_발생량도착량_증가율!$G$7*5)</f>
        <v>355.97567277929005</v>
      </c>
      <c r="I39" s="68"/>
      <c r="J39" s="68"/>
      <c r="K39" s="68">
        <f t="shared" si="9"/>
        <v>853.61513370544048</v>
      </c>
      <c r="L39" s="68">
        <f t="shared" si="8"/>
        <v>853.61513370544048</v>
      </c>
      <c r="M39" s="68">
        <f t="shared" si="10"/>
        <v>1707.230267410881</v>
      </c>
      <c r="P39" s="56"/>
      <c r="Q39" s="56"/>
      <c r="R39" s="56"/>
      <c r="S39" s="56"/>
      <c r="T39" s="301"/>
      <c r="U39" s="301"/>
      <c r="V39" s="56"/>
      <c r="W39" s="56"/>
      <c r="X39" s="56"/>
      <c r="BG39" s="554"/>
      <c r="BH39" s="558"/>
      <c r="BI39" s="46" t="s">
        <v>10</v>
      </c>
      <c r="BJ39" s="46">
        <v>28.4</v>
      </c>
      <c r="BK39" s="46">
        <v>7</v>
      </c>
      <c r="BL39" s="46">
        <v>32.200000000000003</v>
      </c>
      <c r="BM39" s="46">
        <v>0</v>
      </c>
      <c r="BN39" s="47">
        <v>32.4</v>
      </c>
      <c r="BP39" s="554"/>
      <c r="BQ39" s="558"/>
      <c r="BR39" s="46" t="s">
        <v>10</v>
      </c>
      <c r="BS39" s="46">
        <v>28.5</v>
      </c>
      <c r="BT39" s="46">
        <v>7</v>
      </c>
      <c r="BU39" s="46">
        <v>32.200000000000003</v>
      </c>
      <c r="BV39" s="46">
        <v>0</v>
      </c>
      <c r="BW39" s="47">
        <v>32.299999999999997</v>
      </c>
    </row>
    <row r="40" spans="1:75">
      <c r="A40" t="s">
        <v>617</v>
      </c>
      <c r="B40" t="s">
        <v>171</v>
      </c>
      <c r="C40" s="408">
        <f>AA38*(1+KTDB_발생량도착량_증가율!$C$8) * (1+KTDB_발생량도착량_증가율!$D$8*5) * (1+KTDB_발생량도착량_증가율!$E$8*5) * (1+KTDB_발생량도착량_증가율!$F$8*5) * (1+KTDB_발생량도착량_증가율!$G$8*5)</f>
        <v>10.81126250682882</v>
      </c>
      <c r="D40" s="408">
        <f>AB38*(1+KTDB_발생량도착량_증가율!$C$7)*(1+KTDB_발생량도착량_증가율!$D$7*5)*(1+KTDB_발생량도착량_증가율!$E$7*5)*(1+KTDB_발생량도착량_증가율!$F$7*5)*(1+KTDB_발생량도착량_증가율!$G$7*5)</f>
        <v>10.81126250682882</v>
      </c>
      <c r="E40" s="408">
        <f>AC38*(1+KTDB_발생량도착량_증가율!$C$8) * (1+KTDB_발생량도착량_증가율!$D$8*5) * (1+KTDB_발생량도착량_증가율!$E$8*5) * (1+KTDB_발생량도착량_증가율!$F$8*5) * (1+KTDB_발생량도착량_증가율!$G$8*5)</f>
        <v>0.78104177805987696</v>
      </c>
      <c r="F40" s="408">
        <f>AD38*(1+KTDB_발생량도착량_증가율!$C$7)*(1+KTDB_발생량도착량_증가율!$D$7*5)*(1+KTDB_발생량도착량_증가율!$E$7*5)*(1+KTDB_발생량도착량_증가율!$F$7*5)*(1+KTDB_발생량도착량_증가율!$G$7*5)</f>
        <v>0.78104177805987696</v>
      </c>
      <c r="G40" s="408">
        <f>AE38*(1+KTDB_발생량도착량_증가율!$C$8) * (1+KTDB_발생량도착량_증가율!$D$8*5) * (1+KTDB_발생량도착량_증가율!$E$8*5) * (1+KTDB_발생량도착량_증가율!$F$8*5) * (1+KTDB_발생량도착량_증가율!$G$8*5)</f>
        <v>22.691319025739585</v>
      </c>
      <c r="H40" s="408">
        <f>AF38*(1+KTDB_발생량도착량_증가율!$C$7)*(1+KTDB_발생량도착량_증가율!$D$7*5)*(1+KTDB_발생량도착량_증가율!$E$7*5)*(1+KTDB_발생량도착량_증가율!$F$7*5)*(1+KTDB_발생량도착량_증가율!$G$7*5)</f>
        <v>22.691319025739585</v>
      </c>
      <c r="I40" s="69"/>
      <c r="J40" s="69"/>
      <c r="K40" s="69">
        <f t="shared" si="9"/>
        <v>34.283623310628279</v>
      </c>
      <c r="L40" s="69">
        <f t="shared" si="8"/>
        <v>34.283623310628279</v>
      </c>
      <c r="M40" s="69">
        <f t="shared" si="10"/>
        <v>68.567246621256558</v>
      </c>
      <c r="P40" s="56"/>
      <c r="Q40" s="56"/>
      <c r="R40" s="56"/>
      <c r="S40" s="56"/>
      <c r="T40" s="301"/>
      <c r="U40" s="301"/>
      <c r="V40" s="56"/>
      <c r="W40" s="56"/>
      <c r="X40" s="56"/>
      <c r="BG40" s="554"/>
      <c r="BH40" s="559" t="s">
        <v>170</v>
      </c>
      <c r="BI40" s="46" t="s">
        <v>9</v>
      </c>
      <c r="BJ40" s="46">
        <v>34</v>
      </c>
      <c r="BK40" s="46">
        <v>7.1</v>
      </c>
      <c r="BL40" s="46">
        <v>29.4</v>
      </c>
      <c r="BM40" s="46">
        <v>0</v>
      </c>
      <c r="BN40" s="47">
        <v>29.5</v>
      </c>
      <c r="BP40" s="554"/>
      <c r="BQ40" s="559" t="s">
        <v>170</v>
      </c>
      <c r="BR40" s="46" t="s">
        <v>9</v>
      </c>
      <c r="BS40" s="46">
        <v>34</v>
      </c>
      <c r="BT40" s="46">
        <v>7.1</v>
      </c>
      <c r="BU40" s="46">
        <v>29.5</v>
      </c>
      <c r="BV40" s="46">
        <v>0</v>
      </c>
      <c r="BW40" s="47">
        <v>29.4</v>
      </c>
    </row>
    <row r="41" spans="1:75" ht="17" customHeight="1">
      <c r="A41" t="s">
        <v>26</v>
      </c>
      <c r="B41" t="s">
        <v>26</v>
      </c>
      <c r="C41" s="56">
        <f>SUM(C29:C40)</f>
        <v>5796.3436658468636</v>
      </c>
      <c r="D41" s="56">
        <f t="shared" ref="D41:M41" si="11">SUM(D29:D40)</f>
        <v>5796.3436658468636</v>
      </c>
      <c r="E41" s="56">
        <f t="shared" si="11"/>
        <v>1185.0225581143472</v>
      </c>
      <c r="F41" s="56">
        <f t="shared" si="11"/>
        <v>1185.0225581143472</v>
      </c>
      <c r="G41" s="56">
        <f t="shared" si="11"/>
        <v>7768.7245372620719</v>
      </c>
      <c r="H41" s="56">
        <f t="shared" si="11"/>
        <v>7768.7245372620719</v>
      </c>
      <c r="I41" s="56">
        <f t="shared" si="11"/>
        <v>0</v>
      </c>
      <c r="J41" s="56">
        <f t="shared" si="11"/>
        <v>0</v>
      </c>
      <c r="K41" s="56">
        <f t="shared" si="11"/>
        <v>14750.090761223284</v>
      </c>
      <c r="L41" s="56">
        <f t="shared" si="11"/>
        <v>14750.090761223284</v>
      </c>
      <c r="M41" s="56">
        <f t="shared" si="11"/>
        <v>29500.181522446568</v>
      </c>
      <c r="P41" s="56"/>
      <c r="Q41" s="56"/>
      <c r="R41" s="56"/>
      <c r="S41" s="56"/>
      <c r="T41" s="301"/>
      <c r="U41" s="301"/>
      <c r="V41" s="56"/>
      <c r="W41" s="56"/>
      <c r="X41" s="56"/>
      <c r="BG41" s="554"/>
      <c r="BH41" s="558"/>
      <c r="BI41" s="46" t="s">
        <v>10</v>
      </c>
      <c r="BJ41" s="46">
        <v>28.4</v>
      </c>
      <c r="BK41" s="46">
        <v>7</v>
      </c>
      <c r="BL41" s="46">
        <v>32.200000000000003</v>
      </c>
      <c r="BM41" s="46">
        <v>0</v>
      </c>
      <c r="BN41" s="47">
        <v>32.4</v>
      </c>
      <c r="BP41" s="554"/>
      <c r="BQ41" s="558"/>
      <c r="BR41" s="46" t="s">
        <v>10</v>
      </c>
      <c r="BS41" s="46">
        <v>28.5</v>
      </c>
      <c r="BT41" s="46">
        <v>7</v>
      </c>
      <c r="BU41" s="46">
        <v>32.200000000000003</v>
      </c>
      <c r="BV41" s="46">
        <v>0</v>
      </c>
      <c r="BW41" s="47">
        <v>32.299999999999997</v>
      </c>
    </row>
    <row r="42" spans="1:75"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P42" s="56"/>
      <c r="Q42" s="56"/>
      <c r="R42" s="56"/>
      <c r="S42" s="56"/>
      <c r="T42" s="301"/>
      <c r="U42" s="301"/>
      <c r="V42" s="56"/>
      <c r="W42" s="56"/>
      <c r="X42" s="56"/>
      <c r="BG42" s="554"/>
      <c r="BH42" s="559" t="s">
        <v>171</v>
      </c>
      <c r="BI42" s="46" t="s">
        <v>9</v>
      </c>
      <c r="BJ42" s="46">
        <v>26.3</v>
      </c>
      <c r="BK42" s="46">
        <v>1.9</v>
      </c>
      <c r="BL42" s="46">
        <v>55.2</v>
      </c>
      <c r="BM42" s="46">
        <v>0</v>
      </c>
      <c r="BN42" s="47">
        <v>16.600000000000001</v>
      </c>
      <c r="BP42" s="554"/>
      <c r="BQ42" s="559" t="s">
        <v>171</v>
      </c>
      <c r="BR42" s="46" t="s">
        <v>9</v>
      </c>
      <c r="BS42" s="46">
        <v>26.3</v>
      </c>
      <c r="BT42" s="46">
        <v>1.9</v>
      </c>
      <c r="BU42" s="46">
        <v>55.3</v>
      </c>
      <c r="BV42" s="46">
        <v>0</v>
      </c>
      <c r="BW42" s="47">
        <v>16.5</v>
      </c>
    </row>
    <row r="43" spans="1:75" ht="17.5" thickBot="1"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P43" s="56"/>
      <c r="Q43" s="56"/>
      <c r="R43" s="56"/>
      <c r="S43" s="56"/>
      <c r="T43" s="301"/>
      <c r="U43" s="301"/>
      <c r="V43" s="56"/>
      <c r="W43" s="56"/>
      <c r="X43" s="56"/>
      <c r="BG43" s="555"/>
      <c r="BH43" s="558"/>
      <c r="BI43" s="46" t="s">
        <v>10</v>
      </c>
      <c r="BJ43" s="46">
        <v>28</v>
      </c>
      <c r="BK43" s="46">
        <v>3.9</v>
      </c>
      <c r="BL43" s="46">
        <v>19.5</v>
      </c>
      <c r="BM43" s="46">
        <v>0</v>
      </c>
      <c r="BN43" s="47">
        <v>48.6</v>
      </c>
      <c r="BP43" s="560"/>
      <c r="BQ43" s="561"/>
      <c r="BR43" s="48" t="s">
        <v>10</v>
      </c>
      <c r="BS43" s="48">
        <v>28.1</v>
      </c>
      <c r="BT43" s="48">
        <v>3.9</v>
      </c>
      <c r="BU43" s="48">
        <v>19.600000000000001</v>
      </c>
      <c r="BV43" s="48">
        <v>0</v>
      </c>
      <c r="BW43" s="49">
        <v>48.4</v>
      </c>
    </row>
    <row r="44" spans="1:75" ht="17.5" thickTop="1"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P44" s="56"/>
      <c r="Q44" s="56"/>
      <c r="R44" s="56"/>
      <c r="S44" s="56"/>
      <c r="T44" s="301"/>
      <c r="U44" s="301"/>
      <c r="V44" s="56"/>
      <c r="W44" s="56"/>
      <c r="X44" s="56"/>
    </row>
    <row r="45" spans="1:75">
      <c r="C45" s="56"/>
      <c r="D45" s="56"/>
      <c r="E45" s="56"/>
      <c r="F45" s="56"/>
      <c r="G45" s="56"/>
      <c r="H45" s="56"/>
      <c r="I45" s="56"/>
      <c r="J45" s="56"/>
      <c r="K45" s="56"/>
      <c r="L45" s="56"/>
      <c r="M45" s="56"/>
      <c r="P45" s="56"/>
      <c r="Q45" s="56"/>
      <c r="R45" s="56"/>
      <c r="S45" s="56"/>
      <c r="T45" s="301"/>
      <c r="U45" s="301"/>
      <c r="V45" s="56"/>
      <c r="W45" s="56"/>
      <c r="X45" s="56"/>
    </row>
    <row r="46" spans="1:75">
      <c r="A46" s="76" t="s">
        <v>663</v>
      </c>
      <c r="C46" s="56"/>
      <c r="D46" s="56"/>
      <c r="E46" s="56"/>
      <c r="F46" s="56"/>
      <c r="G46" s="56"/>
      <c r="H46" s="56"/>
      <c r="I46" s="56"/>
      <c r="J46" s="56"/>
      <c r="K46" s="56"/>
      <c r="L46" s="56"/>
      <c r="M46" s="56"/>
      <c r="P46" s="56"/>
      <c r="Q46" s="56"/>
      <c r="R46" s="56"/>
      <c r="S46" s="56"/>
      <c r="T46" s="301"/>
      <c r="U46" s="301"/>
      <c r="V46" s="56"/>
      <c r="W46" s="56"/>
      <c r="X46" s="56"/>
    </row>
    <row r="47" spans="1:75">
      <c r="P47" s="56"/>
      <c r="Q47" s="56"/>
      <c r="R47" s="56"/>
      <c r="S47" s="56"/>
      <c r="T47" s="301"/>
      <c r="U47" s="301"/>
      <c r="V47" s="56"/>
      <c r="W47" s="56"/>
      <c r="X47" s="56"/>
    </row>
    <row r="48" spans="1:75">
      <c r="A48" s="32"/>
      <c r="C48" s="56"/>
      <c r="D48" s="56"/>
      <c r="E48" s="56"/>
      <c r="F48" s="56"/>
      <c r="G48" s="56"/>
      <c r="H48" s="56"/>
      <c r="I48" s="56"/>
      <c r="J48" s="56"/>
      <c r="K48" s="56"/>
      <c r="L48" s="56"/>
      <c r="M48" s="56"/>
      <c r="P48" s="56"/>
      <c r="Q48" s="56"/>
      <c r="R48" s="56"/>
      <c r="S48" s="56"/>
      <c r="T48" s="301"/>
      <c r="U48" s="301"/>
      <c r="V48" s="56"/>
      <c r="W48" s="56"/>
      <c r="X48" s="56"/>
    </row>
    <row r="49" spans="1:167"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P49" s="56"/>
      <c r="Q49" s="56"/>
      <c r="R49" s="56"/>
      <c r="S49" s="56"/>
      <c r="T49" s="301"/>
      <c r="U49" s="301"/>
      <c r="V49" s="56"/>
      <c r="W49" s="56"/>
      <c r="X49" s="56"/>
    </row>
    <row r="50" spans="1:167">
      <c r="C50" s="56"/>
      <c r="D50" s="56"/>
      <c r="E50" s="56"/>
      <c r="F50" s="56"/>
      <c r="G50" s="56"/>
      <c r="H50" s="56"/>
      <c r="I50" s="56"/>
      <c r="J50" s="56"/>
      <c r="K50" s="56"/>
      <c r="L50" s="56"/>
      <c r="M50" s="56"/>
      <c r="P50" s="56"/>
      <c r="Q50" s="56"/>
      <c r="R50" s="56"/>
      <c r="S50" s="56"/>
      <c r="T50" s="301"/>
      <c r="U50" s="301"/>
      <c r="V50" s="56"/>
      <c r="W50" s="56"/>
      <c r="X50" s="56"/>
    </row>
    <row r="51" spans="1:167">
      <c r="C51" s="56"/>
      <c r="D51" s="56"/>
      <c r="E51" s="56"/>
      <c r="F51" s="56"/>
      <c r="G51" s="56"/>
      <c r="H51" s="56"/>
      <c r="I51" s="56"/>
      <c r="J51" s="56"/>
      <c r="K51" s="56"/>
      <c r="L51" s="56"/>
      <c r="M51" s="56"/>
      <c r="P51" s="56"/>
      <c r="Q51" s="56"/>
      <c r="R51" s="56"/>
      <c r="S51" s="56"/>
      <c r="T51" s="301"/>
      <c r="U51" s="301"/>
      <c r="V51" s="56"/>
      <c r="W51" s="56"/>
      <c r="X51" s="56"/>
    </row>
    <row r="52" spans="1:167">
      <c r="C52" s="56"/>
      <c r="D52" s="56"/>
      <c r="E52" s="56"/>
      <c r="F52" s="56"/>
      <c r="G52" s="56"/>
      <c r="H52" s="56"/>
      <c r="I52" s="56"/>
      <c r="J52" s="56"/>
      <c r="K52" s="56"/>
      <c r="L52" s="56"/>
      <c r="M52" s="56"/>
      <c r="P52" s="56"/>
      <c r="Q52" s="56"/>
      <c r="R52" s="56"/>
      <c r="S52" s="56"/>
      <c r="T52" s="301"/>
      <c r="U52" s="301"/>
      <c r="V52" s="56"/>
      <c r="W52" s="56"/>
      <c r="X52" s="56"/>
    </row>
    <row r="53" spans="1:167"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P53" s="56"/>
      <c r="Q53" s="56"/>
      <c r="R53" s="56"/>
      <c r="S53" s="56"/>
      <c r="T53" s="301"/>
      <c r="U53" s="301"/>
      <c r="V53" s="56"/>
      <c r="W53" s="56"/>
      <c r="X53" s="56"/>
      <c r="EG53" s="32" t="s">
        <v>863</v>
      </c>
    </row>
    <row r="54" spans="1:167"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403"/>
      <c r="O54" s="32" t="s">
        <v>851</v>
      </c>
      <c r="P54" s="56"/>
      <c r="Q54" s="56"/>
      <c r="R54" s="56"/>
      <c r="S54" s="56"/>
      <c r="T54" s="301"/>
      <c r="U54" s="301"/>
      <c r="V54" s="56"/>
      <c r="W54" s="56"/>
      <c r="X54" s="56"/>
      <c r="EF54" s="279"/>
      <c r="EG54" s="279" t="s">
        <v>601</v>
      </c>
    </row>
    <row r="55" spans="1:167">
      <c r="C55" s="56"/>
      <c r="D55" s="56"/>
      <c r="E55" s="56"/>
      <c r="F55" s="56"/>
      <c r="G55" s="56"/>
      <c r="H55" s="56"/>
      <c r="I55" s="56"/>
      <c r="J55" s="56"/>
      <c r="K55" s="56"/>
      <c r="L55" s="56"/>
      <c r="M55" s="56"/>
      <c r="P55" s="56"/>
      <c r="Q55" s="56"/>
      <c r="R55" s="56"/>
      <c r="S55" s="56"/>
      <c r="T55" s="301"/>
      <c r="U55" s="301"/>
      <c r="V55" s="56"/>
      <c r="W55" s="56"/>
      <c r="X55" s="56"/>
      <c r="EF55" s="279" t="s">
        <v>602</v>
      </c>
      <c r="EG55" s="293">
        <v>1</v>
      </c>
    </row>
    <row r="56" spans="1:167"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P56" s="56"/>
      <c r="Q56" s="56"/>
      <c r="R56" s="56"/>
      <c r="S56" s="56"/>
      <c r="T56" s="301"/>
      <c r="U56" s="301"/>
      <c r="V56" s="56"/>
      <c r="W56" s="56"/>
      <c r="X56" s="56"/>
    </row>
    <row r="57" spans="1:167"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P57" s="56"/>
      <c r="Q57" s="56"/>
      <c r="R57" s="56"/>
      <c r="S57" s="56"/>
      <c r="T57" s="301"/>
      <c r="U57" s="301"/>
      <c r="V57" s="56"/>
      <c r="W57" s="56"/>
      <c r="X57" s="56"/>
    </row>
    <row r="58" spans="1:167" s="227" customFormat="1" ht="25.5">
      <c r="A58" s="285">
        <v>2025</v>
      </c>
      <c r="B58" s="282"/>
      <c r="C58" s="283"/>
      <c r="D58" s="284"/>
      <c r="E58" s="284"/>
      <c r="F58" s="284"/>
      <c r="G58" s="284"/>
      <c r="H58" s="284"/>
      <c r="I58" s="284"/>
      <c r="K58" s="282"/>
      <c r="L58" s="282"/>
      <c r="M58" s="283"/>
      <c r="N58" s="284"/>
      <c r="O58" s="284"/>
      <c r="P58" s="284"/>
      <c r="Q58" s="284"/>
      <c r="R58" s="284"/>
      <c r="S58" s="284"/>
    </row>
    <row r="59" spans="1:167" ht="23.5" thickBot="1">
      <c r="A59" s="32" t="s">
        <v>468</v>
      </c>
      <c r="C59" t="s">
        <v>463</v>
      </c>
      <c r="D59" t="s">
        <v>467</v>
      </c>
      <c r="E59" t="s">
        <v>470</v>
      </c>
      <c r="F59" t="s">
        <v>465</v>
      </c>
      <c r="G59" t="s">
        <v>466</v>
      </c>
      <c r="H59" t="s">
        <v>21</v>
      </c>
      <c r="K59" s="32" t="s">
        <v>471</v>
      </c>
      <c r="CV59" s="32" t="s">
        <v>492</v>
      </c>
      <c r="CY59" t="s">
        <v>478</v>
      </c>
      <c r="CZ59" t="s">
        <v>479</v>
      </c>
      <c r="EK59" s="353" t="s">
        <v>859</v>
      </c>
      <c r="EU59" s="353" t="s">
        <v>745</v>
      </c>
      <c r="FD59" s="353"/>
    </row>
    <row r="60" spans="1:167">
      <c r="A60" t="s">
        <v>462</v>
      </c>
      <c r="C60" t="s">
        <v>427</v>
      </c>
      <c r="D60" t="s">
        <v>428</v>
      </c>
      <c r="E60" t="s">
        <v>429</v>
      </c>
      <c r="F60" t="s">
        <v>430</v>
      </c>
      <c r="G60" t="s">
        <v>431</v>
      </c>
      <c r="H60" t="s">
        <v>457</v>
      </c>
      <c r="K60" s="159" t="s">
        <v>482</v>
      </c>
      <c r="L60" s="159"/>
      <c r="M60" s="443" t="s">
        <v>463</v>
      </c>
      <c r="N60" s="444"/>
      <c r="O60" s="444"/>
      <c r="P60" s="444"/>
      <c r="Q60" s="444"/>
      <c r="R60" s="444"/>
      <c r="S60" s="444"/>
      <c r="T60" s="444"/>
      <c r="U60" s="444"/>
      <c r="V60" s="444"/>
      <c r="W60" s="444"/>
      <c r="X60" s="444"/>
      <c r="Y60" s="444"/>
      <c r="Z60" s="445"/>
      <c r="AA60" s="443" t="s">
        <v>467</v>
      </c>
      <c r="AB60" s="444"/>
      <c r="AC60" s="444"/>
      <c r="AD60" s="444"/>
      <c r="AE60" s="444"/>
      <c r="AF60" s="444"/>
      <c r="AG60" s="444"/>
      <c r="AH60" s="444"/>
      <c r="AI60" s="444"/>
      <c r="AJ60" s="444"/>
      <c r="AK60" s="444"/>
      <c r="AL60" s="444"/>
      <c r="AM60" s="444"/>
      <c r="AN60" s="445"/>
      <c r="AO60" s="443" t="s">
        <v>464</v>
      </c>
      <c r="AP60" s="444"/>
      <c r="AQ60" s="444"/>
      <c r="AR60" s="444"/>
      <c r="AS60" s="444"/>
      <c r="AT60" s="444"/>
      <c r="AU60" s="444"/>
      <c r="AV60" s="444"/>
      <c r="AW60" s="444"/>
      <c r="AX60" s="444"/>
      <c r="AY60" s="444"/>
      <c r="AZ60" s="444"/>
      <c r="BA60" s="444"/>
      <c r="BB60" s="445"/>
      <c r="BC60" s="443" t="s">
        <v>465</v>
      </c>
      <c r="BD60" s="444"/>
      <c r="BE60" s="444"/>
      <c r="BF60" s="444"/>
      <c r="BG60" s="444"/>
      <c r="BH60" s="444"/>
      <c r="BI60" s="444"/>
      <c r="BJ60" s="444"/>
      <c r="BK60" s="444"/>
      <c r="BL60" s="444"/>
      <c r="BM60" s="444"/>
      <c r="BN60" s="444"/>
      <c r="BO60" s="444"/>
      <c r="BP60" s="445"/>
      <c r="BQ60" s="443" t="s">
        <v>466</v>
      </c>
      <c r="BR60" s="444"/>
      <c r="BS60" s="444"/>
      <c r="BT60" s="444"/>
      <c r="BU60" s="444"/>
      <c r="BV60" s="444"/>
      <c r="BW60" s="444"/>
      <c r="BX60" s="444"/>
      <c r="BY60" s="444"/>
      <c r="BZ60" s="444"/>
      <c r="CA60" s="444"/>
      <c r="CB60" s="444"/>
      <c r="CC60" s="444"/>
      <c r="CD60" s="445"/>
      <c r="CE60" s="443" t="s">
        <v>21</v>
      </c>
      <c r="CF60" s="444"/>
      <c r="CG60" s="444"/>
      <c r="CH60" s="444"/>
      <c r="CI60" s="444"/>
      <c r="CJ60" s="444"/>
      <c r="CK60" s="444"/>
      <c r="CL60" s="444"/>
      <c r="CM60" s="444"/>
      <c r="CN60" s="444"/>
      <c r="CO60" s="444"/>
      <c r="CP60" s="444"/>
      <c r="CQ60" s="444"/>
      <c r="CR60" s="445"/>
      <c r="CV60" s="263" t="s">
        <v>482</v>
      </c>
      <c r="CW60" s="263"/>
      <c r="CX60" s="446" t="s">
        <v>554</v>
      </c>
      <c r="CY60" s="439"/>
      <c r="CZ60" s="439"/>
      <c r="DA60" s="440"/>
      <c r="DB60" s="438" t="s">
        <v>553</v>
      </c>
      <c r="DC60" s="439"/>
      <c r="DD60" s="439"/>
      <c r="DE60" s="440"/>
      <c r="DF60" s="438" t="s">
        <v>464</v>
      </c>
      <c r="DG60" s="439"/>
      <c r="DH60" s="439"/>
      <c r="DI60" s="440"/>
      <c r="DJ60" s="438" t="s">
        <v>465</v>
      </c>
      <c r="DK60" s="439"/>
      <c r="DL60" s="439"/>
      <c r="DM60" s="440"/>
      <c r="DN60" s="438" t="s">
        <v>466</v>
      </c>
      <c r="DO60" s="439"/>
      <c r="DP60" s="439"/>
      <c r="DQ60" s="440"/>
      <c r="DR60" s="438" t="s">
        <v>21</v>
      </c>
      <c r="DS60" s="439"/>
      <c r="DT60" s="439"/>
      <c r="DU60" s="441"/>
      <c r="DW60" s="278"/>
      <c r="DX60" s="278"/>
      <c r="DY60" s="442" t="s">
        <v>588</v>
      </c>
      <c r="DZ60" s="442"/>
      <c r="EB60" s="278"/>
      <c r="EC60" s="278"/>
      <c r="ED60" s="442" t="s">
        <v>588</v>
      </c>
      <c r="EE60" s="442"/>
      <c r="EI60" t="s">
        <v>599</v>
      </c>
    </row>
    <row r="61" spans="1:167">
      <c r="A61" s="199"/>
      <c r="B61" s="199"/>
      <c r="C61" s="202" t="s">
        <v>463</v>
      </c>
      <c r="D61" s="202" t="s">
        <v>467</v>
      </c>
      <c r="E61" s="202" t="s">
        <v>464</v>
      </c>
      <c r="F61" s="202" t="s">
        <v>465</v>
      </c>
      <c r="G61" s="202" t="s">
        <v>466</v>
      </c>
      <c r="H61" s="202" t="s">
        <v>21</v>
      </c>
      <c r="K61" s="159"/>
      <c r="L61" s="159"/>
      <c r="M61" s="211" t="s">
        <v>472</v>
      </c>
      <c r="N61" s="160" t="s">
        <v>156</v>
      </c>
      <c r="O61" s="160" t="s">
        <v>475</v>
      </c>
      <c r="P61" s="160" t="s">
        <v>476</v>
      </c>
      <c r="Q61" s="160" t="s">
        <v>477</v>
      </c>
      <c r="R61" s="160" t="s">
        <v>478</v>
      </c>
      <c r="S61" s="160" t="s">
        <v>479</v>
      </c>
      <c r="T61" s="160" t="s">
        <v>480</v>
      </c>
      <c r="U61" s="160" t="s">
        <v>449</v>
      </c>
      <c r="V61" s="160" t="s">
        <v>157</v>
      </c>
      <c r="W61" s="160" t="s">
        <v>473</v>
      </c>
      <c r="X61" s="160" t="s">
        <v>474</v>
      </c>
      <c r="Y61" s="160" t="s">
        <v>46</v>
      </c>
      <c r="Z61" s="212" t="s">
        <v>11</v>
      </c>
      <c r="AA61" s="211" t="s">
        <v>472</v>
      </c>
      <c r="AB61" s="160" t="s">
        <v>156</v>
      </c>
      <c r="AC61" s="160" t="s">
        <v>475</v>
      </c>
      <c r="AD61" s="160" t="s">
        <v>476</v>
      </c>
      <c r="AE61" s="160" t="s">
        <v>477</v>
      </c>
      <c r="AF61" s="160" t="s">
        <v>478</v>
      </c>
      <c r="AG61" s="160" t="s">
        <v>479</v>
      </c>
      <c r="AH61" s="160" t="s">
        <v>480</v>
      </c>
      <c r="AI61" s="160" t="s">
        <v>449</v>
      </c>
      <c r="AJ61" s="160" t="s">
        <v>157</v>
      </c>
      <c r="AK61" s="160" t="s">
        <v>473</v>
      </c>
      <c r="AL61" s="160" t="s">
        <v>474</v>
      </c>
      <c r="AM61" s="160" t="s">
        <v>46</v>
      </c>
      <c r="AN61" s="212" t="s">
        <v>11</v>
      </c>
      <c r="AO61" s="211" t="s">
        <v>472</v>
      </c>
      <c r="AP61" s="160" t="s">
        <v>156</v>
      </c>
      <c r="AQ61" s="160" t="s">
        <v>475</v>
      </c>
      <c r="AR61" s="160" t="s">
        <v>476</v>
      </c>
      <c r="AS61" s="160" t="s">
        <v>477</v>
      </c>
      <c r="AT61" s="160" t="s">
        <v>478</v>
      </c>
      <c r="AU61" s="160" t="s">
        <v>479</v>
      </c>
      <c r="AV61" s="160" t="s">
        <v>480</v>
      </c>
      <c r="AW61" s="160" t="s">
        <v>449</v>
      </c>
      <c r="AX61" s="160" t="s">
        <v>157</v>
      </c>
      <c r="AY61" s="160" t="s">
        <v>473</v>
      </c>
      <c r="AZ61" s="160" t="s">
        <v>474</v>
      </c>
      <c r="BA61" s="160" t="s">
        <v>46</v>
      </c>
      <c r="BB61" s="212" t="s">
        <v>11</v>
      </c>
      <c r="BC61" s="211" t="s">
        <v>472</v>
      </c>
      <c r="BD61" s="160" t="s">
        <v>156</v>
      </c>
      <c r="BE61" s="160" t="s">
        <v>475</v>
      </c>
      <c r="BF61" s="160" t="s">
        <v>476</v>
      </c>
      <c r="BG61" s="160" t="s">
        <v>477</v>
      </c>
      <c r="BH61" s="160" t="s">
        <v>478</v>
      </c>
      <c r="BI61" s="160" t="s">
        <v>479</v>
      </c>
      <c r="BJ61" s="160" t="s">
        <v>480</v>
      </c>
      <c r="BK61" s="160" t="s">
        <v>449</v>
      </c>
      <c r="BL61" s="160" t="s">
        <v>157</v>
      </c>
      <c r="BM61" s="160" t="s">
        <v>473</v>
      </c>
      <c r="BN61" s="160" t="s">
        <v>474</v>
      </c>
      <c r="BO61" s="160" t="s">
        <v>46</v>
      </c>
      <c r="BP61" s="212" t="s">
        <v>11</v>
      </c>
      <c r="BQ61" s="211" t="s">
        <v>472</v>
      </c>
      <c r="BR61" s="160" t="s">
        <v>156</v>
      </c>
      <c r="BS61" s="160" t="s">
        <v>475</v>
      </c>
      <c r="BT61" s="160" t="s">
        <v>476</v>
      </c>
      <c r="BU61" s="160" t="s">
        <v>477</v>
      </c>
      <c r="BV61" s="160" t="s">
        <v>478</v>
      </c>
      <c r="BW61" s="160" t="s">
        <v>479</v>
      </c>
      <c r="BX61" s="160" t="s">
        <v>480</v>
      </c>
      <c r="BY61" s="160" t="s">
        <v>449</v>
      </c>
      <c r="BZ61" s="160" t="s">
        <v>157</v>
      </c>
      <c r="CA61" s="160" t="s">
        <v>473</v>
      </c>
      <c r="CB61" s="160" t="s">
        <v>474</v>
      </c>
      <c r="CC61" s="160" t="s">
        <v>46</v>
      </c>
      <c r="CD61" s="212" t="s">
        <v>11</v>
      </c>
      <c r="CE61" s="211" t="s">
        <v>472</v>
      </c>
      <c r="CF61" s="160" t="s">
        <v>156</v>
      </c>
      <c r="CG61" s="160" t="s">
        <v>475</v>
      </c>
      <c r="CH61" s="160" t="s">
        <v>476</v>
      </c>
      <c r="CI61" s="160" t="s">
        <v>477</v>
      </c>
      <c r="CJ61" s="160" t="s">
        <v>478</v>
      </c>
      <c r="CK61" s="160" t="s">
        <v>479</v>
      </c>
      <c r="CL61" s="160" t="s">
        <v>480</v>
      </c>
      <c r="CM61" s="160" t="s">
        <v>449</v>
      </c>
      <c r="CN61" s="160" t="s">
        <v>157</v>
      </c>
      <c r="CO61" s="160" t="s">
        <v>473</v>
      </c>
      <c r="CP61" s="160" t="s">
        <v>474</v>
      </c>
      <c r="CQ61" s="160" t="s">
        <v>46</v>
      </c>
      <c r="CR61" s="212" t="s">
        <v>11</v>
      </c>
      <c r="CV61" s="263"/>
      <c r="CW61" s="263"/>
      <c r="CX61" s="264" t="s">
        <v>156</v>
      </c>
      <c r="CY61" s="264" t="s">
        <v>478</v>
      </c>
      <c r="CZ61" s="264" t="s">
        <v>479</v>
      </c>
      <c r="DA61" s="264" t="s">
        <v>157</v>
      </c>
      <c r="DB61" s="264" t="s">
        <v>156</v>
      </c>
      <c r="DC61" s="264" t="s">
        <v>478</v>
      </c>
      <c r="DD61" s="264" t="s">
        <v>479</v>
      </c>
      <c r="DE61" s="264" t="s">
        <v>157</v>
      </c>
      <c r="DF61" s="264" t="s">
        <v>156</v>
      </c>
      <c r="DG61" s="264" t="s">
        <v>478</v>
      </c>
      <c r="DH61" s="264" t="s">
        <v>479</v>
      </c>
      <c r="DI61" s="264" t="s">
        <v>157</v>
      </c>
      <c r="DJ61" s="264" t="s">
        <v>156</v>
      </c>
      <c r="DK61" s="264" t="s">
        <v>478</v>
      </c>
      <c r="DL61" s="264" t="s">
        <v>479</v>
      </c>
      <c r="DM61" s="264" t="s">
        <v>157</v>
      </c>
      <c r="DN61" s="264" t="s">
        <v>156</v>
      </c>
      <c r="DO61" s="264" t="s">
        <v>478</v>
      </c>
      <c r="DP61" s="264" t="s">
        <v>479</v>
      </c>
      <c r="DQ61" s="264" t="s">
        <v>157</v>
      </c>
      <c r="DR61" s="264" t="s">
        <v>156</v>
      </c>
      <c r="DS61" s="264" t="s">
        <v>478</v>
      </c>
      <c r="DT61" s="264" t="s">
        <v>479</v>
      </c>
      <c r="DU61" s="264" t="s">
        <v>157</v>
      </c>
      <c r="DW61" s="278"/>
      <c r="DX61" s="278"/>
      <c r="DY61" s="280" t="s">
        <v>585</v>
      </c>
      <c r="DZ61" s="280" t="s">
        <v>259</v>
      </c>
      <c r="EB61" s="278"/>
      <c r="EC61" s="278"/>
      <c r="ED61" s="280" t="s">
        <v>585</v>
      </c>
      <c r="EE61" s="280" t="s">
        <v>259</v>
      </c>
      <c r="EK61" s="420" t="s">
        <v>564</v>
      </c>
      <c r="EL61" s="420"/>
      <c r="EM61" s="420" t="s">
        <v>565</v>
      </c>
      <c r="EN61" s="420" t="s">
        <v>566</v>
      </c>
      <c r="EO61" s="420" t="s">
        <v>562</v>
      </c>
      <c r="EP61" s="421" t="s">
        <v>597</v>
      </c>
      <c r="EQ61" s="421" t="s">
        <v>585</v>
      </c>
      <c r="ER61" s="421" t="s">
        <v>604</v>
      </c>
      <c r="ES61" s="424" t="s">
        <v>866</v>
      </c>
      <c r="EU61" s="306" t="s">
        <v>564</v>
      </c>
      <c r="EV61" s="306"/>
      <c r="EW61" s="306" t="s">
        <v>565</v>
      </c>
      <c r="EX61" s="306" t="s">
        <v>566</v>
      </c>
      <c r="EY61" s="306" t="s">
        <v>562</v>
      </c>
      <c r="EZ61" s="307" t="s">
        <v>597</v>
      </c>
      <c r="FA61" s="307" t="s">
        <v>585</v>
      </c>
      <c r="FB61" s="307" t="s">
        <v>259</v>
      </c>
      <c r="FD61" s="101"/>
      <c r="FE61" s="101"/>
      <c r="FF61" s="101"/>
      <c r="FG61" s="101"/>
      <c r="FH61" s="101"/>
      <c r="FI61" s="374"/>
      <c r="FJ61" s="374"/>
      <c r="FK61" s="374"/>
    </row>
    <row r="62" spans="1:167">
      <c r="A62" s="205" t="s">
        <v>605</v>
      </c>
      <c r="B62" s="205" t="s">
        <v>606</v>
      </c>
      <c r="C62" s="201">
        <f>$L29*KTDB_TripDistribution_2045!L$12</f>
        <v>192.45923547936255</v>
      </c>
      <c r="D62" s="201">
        <f>$L29*KTDB_TripDistribution_2045!M$12</f>
        <v>1496.5886803166145</v>
      </c>
      <c r="E62" s="201">
        <f>$L29*KTDB_TripDistribution_2045!N$12</f>
        <v>66.336821700901709</v>
      </c>
      <c r="F62" s="201">
        <f>$L29*KTDB_TripDistribution_2045!O$12</f>
        <v>0.17989646562956435</v>
      </c>
      <c r="G62" s="201">
        <f>$L29*KTDB_TripDistribution_2045!P$12</f>
        <v>0.50970665261709724</v>
      </c>
      <c r="H62" s="201">
        <f>$K29*KTDB_TripDistribution_2045!Q$12</f>
        <v>1756.0743406151255</v>
      </c>
      <c r="J62" s="230">
        <f t="shared" ref="J62:J66" si="12">CR62</f>
        <v>1756.0743406151257</v>
      </c>
      <c r="K62" s="206" t="s">
        <v>605</v>
      </c>
      <c r="L62" s="206" t="s">
        <v>606</v>
      </c>
      <c r="M62" s="206">
        <f>INDEX($A$61:$H$74,MATCH($L62,$B$61:$B$74,0),MATCH($M$60,$A$61:$H$61,0))*고양시_Modal_split!C$3 * 0.01</f>
        <v>0.53888585934221511</v>
      </c>
      <c r="N62" s="206">
        <f>INDEX($A$61:$H$74,MATCH($L62,$B$61:$B$74,0),MATCH($M$60,$A$61:$H$61,0))*고양시_Modal_split!D$3 * 0.01</f>
        <v>90.513578445944205</v>
      </c>
      <c r="O62" s="206">
        <f>INDEX($A$61:$H$74,MATCH($L62,$B$61:$B$74,0),MATCH($M$60,$A$61:$H$61,0))*고양시_Modal_split!E$3 * 0.01</f>
        <v>10.95093049877573</v>
      </c>
      <c r="P62" s="206">
        <f>INDEX($A$61:$H$74,MATCH($L62,$B$61:$B$74,0),MATCH($M$60,$A$61:$H$61,0))*고양시_Modal_split!F$3 * 0.01</f>
        <v>17.648511893457545</v>
      </c>
      <c r="Q62" s="206">
        <f>INDEX($A$61:$H$74,MATCH($L62,$B$61:$B$74,0),MATCH($M$60,$A$61:$H$61,0))*고양시_Modal_split!G$3 * 0.01</f>
        <v>1.7706249664101352</v>
      </c>
      <c r="R62" s="206">
        <f>INDEX($A$61:$H$74,MATCH($L62,$B$61:$B$74,0),MATCH($M$60,$A$61:$H$61,0))*고양시_Modal_split!H$3 * 0.01</f>
        <v>1.9245923547936254E-2</v>
      </c>
      <c r="S62" s="206">
        <f>INDEX($A$61:$H$74,MATCH($L62,$B$61:$B$74,0),MATCH($M$60,$A$61:$H$61,0))*고양시_Modal_split!I$3 * 0.01</f>
        <v>5.3503667463262792</v>
      </c>
      <c r="T62" s="206">
        <f>INDEX($A$61:$H$74,MATCH($L62,$B$61:$B$74,0),MATCH($M$60,$A$61:$H$61,0))*고양시_Modal_split!J$3 * 0.01</f>
        <v>58.584591279917959</v>
      </c>
      <c r="U62" s="206">
        <f>INDEX($A$61:$H$74,MATCH($L62,$B$61:$B$74,0),MATCH($M$60,$A$61:$H$61,0))*고양시_Modal_split!K$3 * 0.01</f>
        <v>0.28868885321904381</v>
      </c>
      <c r="V62" s="206">
        <f>INDEX($A$61:$H$74,MATCH($L62,$B$61:$B$74,0),MATCH($M$60,$A$61:$H$61,0))*고양시_Modal_split!L$3 * 0.01</f>
        <v>5.8122689114767487</v>
      </c>
      <c r="W62" s="206">
        <f>INDEX($A$61:$H$74,MATCH($L62,$B$61:$B$74,0),MATCH($M$60,$A$61:$H$61,0))*고양시_Modal_split!M$3 * 0.01</f>
        <v>0.44265624160253381</v>
      </c>
      <c r="X62" s="206">
        <f>INDEX($A$61:$H$74,MATCH($L62,$B$61:$B$74,0),MATCH($M$60,$A$61:$H$61,0))*고양시_Modal_split!N$3 * 0.01</f>
        <v>0.19245923547936258</v>
      </c>
      <c r="Y62" s="206">
        <f>INDEX($A$61:$H$74,MATCH($L62,$B$61:$B$74,0),MATCH($M$60,$A$61:$H$61,0))*고양시_Modal_split!O$3 * 0.01</f>
        <v>0.34642662386285261</v>
      </c>
      <c r="Z62" s="209">
        <f>INDEX($A$61:$H$74,MATCH($L62,$B$61:$B$74,0),MATCH($M$60,$A$61:$H$61,0))*고양시_Modal_split!P$3 * 0.01</f>
        <v>192.45923547936255</v>
      </c>
      <c r="AA62" s="207">
        <f>INDEX($A$61:$H$74,MATCH($L62,$B$61:$B$74,0),MATCH($AA$60,$A$61:$H$61,0))*고양시_Modal_split!C$3 * 0.01</f>
        <v>4.1904483048865204</v>
      </c>
      <c r="AB62" s="207">
        <f>INDEX($A$61:$H$74,MATCH($L62,$B$61:$B$74,0),MATCH($AA$60,$A$61:$H$61,0))*고양시_Modal_split!D$3 * 0.01</f>
        <v>703.8456563529038</v>
      </c>
      <c r="AC62" s="207">
        <f>INDEX($A$61:$H$74,MATCH($L62,$B$61:$B$74,0),MATCH($AA$60,$A$61:$H$61,0))*고양시_Modal_split!E$3 * 0.01</f>
        <v>85.15589591001536</v>
      </c>
      <c r="AD62" s="207">
        <f>INDEX($A$61:$H$74,MATCH($L62,$B$61:$B$74,0),MATCH($AA$60,$A$61:$H$61,0))*고양시_Modal_split!F$3 * 0.01</f>
        <v>137.23718198503354</v>
      </c>
      <c r="AE62" s="207">
        <f>INDEX($A$61:$H$74,MATCH($L62,$B$61:$B$74,0),MATCH($AA$60,$A$61:$H$61,0))*고양시_Modal_split!G$3 * 0.01</f>
        <v>13.768615858912852</v>
      </c>
      <c r="AF62" s="207">
        <f>INDEX($A$61:$H$74,MATCH($L62,$B$61:$B$74,0),MATCH($AA$60,$A$61:$H$61,0))*고양시_Modal_split!H$3 * 0.01</f>
        <v>0.14965886803166145</v>
      </c>
      <c r="AG62" s="207">
        <f>INDEX($A$61:$H$74,MATCH($L62,$B$61:$B$74,0),MATCH($AA$60,$A$61:$H$61,0))*고양시_Modal_split!I$3 * 0.01</f>
        <v>41.60516531280188</v>
      </c>
      <c r="AH62" s="207">
        <f>INDEX($A$61:$H$74,MATCH($L62,$B$61:$B$74,0),MATCH($AA$60,$A$61:$H$61,0))*고양시_Modal_split!J$3 * 0.01</f>
        <v>455.56159428837748</v>
      </c>
      <c r="AI62" s="207">
        <f>INDEX($A$61:$H$74,MATCH($L62,$B$61:$B$74,0),MATCH($AA$60,$A$61:$H$61,0))*고양시_Modal_split!K$3 * 0.01</f>
        <v>2.2448830204749219</v>
      </c>
      <c r="AJ62" s="207">
        <f>INDEX($A$61:$H$74,MATCH($L62,$B$61:$B$74,0),MATCH($AA$60,$A$61:$H$61,0))*고양시_Modal_split!L$3 * 0.01</f>
        <v>45.196978145561765</v>
      </c>
      <c r="AK62" s="207">
        <f>INDEX($A$61:$H$74,MATCH($L62,$B$61:$B$74,0),MATCH($AA$60,$A$61:$H$61,0))*고양시_Modal_split!M$3 * 0.01</f>
        <v>3.4421539647282131</v>
      </c>
      <c r="AL62" s="207">
        <f>INDEX($A$61:$H$74,MATCH($L62,$B$61:$B$74,0),MATCH($AA$60,$A$61:$H$61,0))*고양시_Modal_split!N$3 * 0.01</f>
        <v>1.4965886803166146</v>
      </c>
      <c r="AM62" s="207">
        <f>INDEX($A$61:$H$74,MATCH($L62,$B$61:$B$74,0),MATCH($AA$60,$A$61:$H$61,0))*고양시_Modal_split!O$3 * 0.01</f>
        <v>2.6938596245699062</v>
      </c>
      <c r="AN62" s="207">
        <f>INDEX($A$61:$H$74,MATCH($L62,$B$61:$B$74,0),MATCH($AA$60,$A$61:$H$61,0))*고양시_Modal_split!P$3 * 0.01</f>
        <v>1496.5886803166147</v>
      </c>
      <c r="AO62" s="303">
        <f>INDEX($A$61:$H$74,MATCH($L62,$B$61:$B$74,0),MATCH($AO$60,$A$61:$H$61,0))*고양시_Modal_split!C$3 * 0.01</f>
        <v>0.18574310076252476</v>
      </c>
      <c r="AP62" s="303">
        <f>INDEX($A$61:$H$74,MATCH($L62,$B$61:$B$74,0),MATCH($AO$60,$A$61:$H$61,0))*고양시_Modal_split!D$3 * 0.01</f>
        <v>31.198207245934075</v>
      </c>
      <c r="AQ62" s="303">
        <f>INDEX($A$61:$H$74,MATCH($L62,$B$61:$B$74,0),MATCH($AO$60,$A$61:$H$61,0))*고양시_Modal_split!E$3 * 0.01</f>
        <v>3.7745651547813073</v>
      </c>
      <c r="AR62" s="303">
        <f>INDEX($A$61:$H$74,MATCH($L62,$B$61:$B$74,0),MATCH($AO$60,$A$61:$H$61,0))*고양시_Modal_split!F$3 * 0.01</f>
        <v>6.0830865499726876</v>
      </c>
      <c r="AS62" s="303">
        <f>INDEX($A$61:$H$74,MATCH($L62,$B$61:$B$74,0),MATCH($AO$60,$A$61:$H$61,0))*고양시_Modal_split!G$3 * 0.01</f>
        <v>0.61029875964829561</v>
      </c>
      <c r="AT62" s="303">
        <f>INDEX($A$61:$H$74,MATCH($L62,$B$61:$B$74,0),MATCH($AO$60,$A$61:$H$61,0))*고양시_Modal_split!H$3 * 0.01</f>
        <v>6.6336821700901704E-3</v>
      </c>
      <c r="AU62" s="303">
        <f>INDEX($A$61:$H$74,MATCH($L62,$B$61:$B$74,0),MATCH($AO$60,$A$61:$H$61,0))*고양시_Modal_split!I$3 * 0.01</f>
        <v>1.8441636432850674</v>
      </c>
      <c r="AV62" s="303">
        <f>INDEX($A$61:$H$74,MATCH($L62,$B$61:$B$74,0),MATCH($AO$60,$A$61:$H$61,0))*고양시_Modal_split!J$3 * 0.01</f>
        <v>20.192928525754482</v>
      </c>
      <c r="AW62" s="303">
        <f>INDEX($A$61:$H$74,MATCH($L62,$B$61:$B$74,0),MATCH($AO$60,$A$61:$H$61,0))*고양시_Modal_split!K$3 * 0.01</f>
        <v>9.950523255135256E-2</v>
      </c>
      <c r="AX62" s="303">
        <f>INDEX($A$61:$H$74,MATCH($L62,$B$61:$B$74,0),MATCH($AO$60,$A$61:$H$61,0))*고양시_Modal_split!L$3 * 0.01</f>
        <v>2.0033720153672316</v>
      </c>
      <c r="AY62" s="303">
        <f>INDEX($A$61:$H$74,MATCH($L62,$B$61:$B$74,0),MATCH($AO$60,$A$61:$H$61,0))*고양시_Modal_split!M$3 * 0.01</f>
        <v>0.1525746899120739</v>
      </c>
      <c r="AZ62" s="303">
        <f>INDEX($A$61:$H$74,MATCH($L62,$B$61:$B$74,0),MATCH($AO$60,$A$61:$H$61,0))*고양시_Modal_split!N$3 * 0.01</f>
        <v>6.6336821700901716E-2</v>
      </c>
      <c r="BA62" s="207">
        <f>INDEX($A$61:$H$74,MATCH($L62,$B$61:$B$74,0),MATCH($AO$60,$A$61:$H$61,0))*고양시_Modal_split!O$3 * 0.01</f>
        <v>0.11940627906162307</v>
      </c>
      <c r="BB62" s="207">
        <f>INDEX($A$61:$H$74,MATCH($L62,$B$61:$B$74,0),MATCH($AO$60,$A$61:$H$61,0))*고양시_Modal_split!P$3 * 0.01</f>
        <v>66.336821700901709</v>
      </c>
      <c r="BC62" s="207">
        <f>INDEX($A$61:$H$74,MATCH($L62,$B$61:$B$74,0),MATCH($BC$60,$A$61:$H$61,0))*고양시_Modal_split!C$3 * 0.01</f>
        <v>5.0371010376278015E-4</v>
      </c>
      <c r="BD62" s="207">
        <f>INDEX($A$61:$H$74,MATCH($L62,$B$61:$B$74,0),MATCH($BC$60,$A$61:$H$61,0))*고양시_Modal_split!D$3 * 0.01</f>
        <v>8.4605307785584116E-2</v>
      </c>
      <c r="BE62" s="207">
        <f>INDEX($A$61:$H$74,MATCH($L62,$B$61:$B$74,0),MATCH($BC$60,$A$61:$H$61,0))*고양시_Modal_split!E$3 * 0.01</f>
        <v>1.0236108894322211E-2</v>
      </c>
      <c r="BF62" s="207">
        <f>INDEX($A$61:$H$74,MATCH($L62,$B$61:$B$74,0),MATCH($BC$60,$A$61:$H$61,0))*고양시_Modal_split!F$3 * 0.01</f>
        <v>1.649650589823105E-2</v>
      </c>
      <c r="BG62" s="207">
        <f>INDEX($A$61:$H$74,MATCH($L62,$B$61:$B$74,0),MATCH($BC$60,$A$61:$H$61,0))*고양시_Modal_split!G$3 * 0.01</f>
        <v>1.6550474837919919E-3</v>
      </c>
      <c r="BH62" s="207">
        <f>INDEX($A$61:$H$74,MATCH($L62,$B$61:$B$74,0),MATCH($BC$60,$A$61:$H$61,0))*고양시_Modal_split!H$3 * 0.01</f>
        <v>1.7989646562956437E-5</v>
      </c>
      <c r="BI62" s="207">
        <f>INDEX($A$61:$H$74,MATCH($L62,$B$61:$B$74,0),MATCH($BC$60,$A$61:$H$61,0))*고양시_Modal_split!I$3 * 0.01</f>
        <v>5.0011217445018888E-3</v>
      </c>
      <c r="BJ62" s="207">
        <f>INDEX($A$61:$H$74,MATCH($L62,$B$61:$B$74,0),MATCH($BC$60,$A$61:$H$61,0))*고양시_Modal_split!J$3 * 0.01</f>
        <v>5.4760484137639391E-2</v>
      </c>
      <c r="BK62" s="207">
        <f>INDEX($A$61:$H$74,MATCH($L62,$B$61:$B$74,0),MATCH($BC$60,$A$61:$H$61,0))*고양시_Modal_split!K$3 * 0.01</f>
        <v>2.6984469844434651E-4</v>
      </c>
      <c r="BL62" s="207">
        <f>INDEX($A$61:$H$74,MATCH($L62,$B$61:$B$74,0),MATCH($BC$60,$A$61:$H$61,0))*고양시_Modal_split!L$3 * 0.01</f>
        <v>5.4328732620128441E-3</v>
      </c>
      <c r="BM62" s="207">
        <f>INDEX($A$61:$H$74,MATCH($L62,$B$61:$B$74,0),MATCH($BC$60,$A$61:$H$61,0))*고양시_Modal_split!M$3 * 0.01</f>
        <v>4.1376187094799798E-4</v>
      </c>
      <c r="BN62" s="207">
        <f>INDEX($A$61:$H$74,MATCH($L62,$B$61:$B$74,0),MATCH($BC$60,$A$61:$H$61,0))*고양시_Modal_split!N$3 * 0.01</f>
        <v>1.7989646562956437E-4</v>
      </c>
      <c r="BO62" s="207">
        <f>INDEX($A$61:$H$74,MATCH($L62,$B$61:$B$74,0),MATCH($BC$60,$A$61:$H$61,0))*고양시_Modal_split!O$3 * 0.01</f>
        <v>3.2381363813321581E-4</v>
      </c>
      <c r="BP62" s="207">
        <f>INDEX($A$61:$H$74,MATCH($L62,$B$61:$B$74,0),MATCH($BC$60,$A$61:$H$61,0))*고양시_Modal_split!P$3 * 0.01</f>
        <v>0.17989646562956435</v>
      </c>
      <c r="BQ62" s="207">
        <f>INDEX($A$61:$H$74,MATCH($L62,$B$61:$B$74,0),MATCH($BQ$60,$A$61:$H$61,0))*고양시_Modal_split!C$3 * 0.01</f>
        <v>1.4271786273278722E-3</v>
      </c>
      <c r="BR62" s="207">
        <f>INDEX($A$61:$H$74,MATCH($L62,$B$61:$B$74,0),MATCH($BQ$60,$A$61:$H$61,0))*고양시_Modal_split!D$3 * 0.01</f>
        <v>0.23971503872582084</v>
      </c>
      <c r="BS62" s="207">
        <f>INDEX($A$61:$H$74,MATCH($L62,$B$61:$B$74,0),MATCH($BQ$60,$A$61:$H$61,0))*고양시_Modal_split!E$3 * 0.01</f>
        <v>2.9002308533912832E-2</v>
      </c>
      <c r="BT62" s="207">
        <f>INDEX($A$61:$H$74,MATCH($L62,$B$61:$B$74,0),MATCH($BQ$60,$A$61:$H$61,0))*고양시_Modal_split!F$3 * 0.01</f>
        <v>4.6740100044987819E-2</v>
      </c>
      <c r="BU62" s="207">
        <f>INDEX($A$61:$H$74,MATCH($L62,$B$61:$B$74,0),MATCH($BQ$60,$A$61:$H$61,0))*고양시_Modal_split!G$3 * 0.01</f>
        <v>4.689301204077294E-3</v>
      </c>
      <c r="BV62" s="207">
        <f>INDEX($A$61:$H$74,MATCH($L62,$B$61:$B$74,0),MATCH($BQ$60,$A$61:$H$61,0))*고양시_Modal_split!H$3 * 0.01</f>
        <v>5.0970665261709722E-5</v>
      </c>
      <c r="BW62" s="207">
        <f>INDEX($A$61:$H$74,MATCH($L62,$B$61:$B$74,0),MATCH($BQ$60,$A$61:$H$61,0))*고양시_Modal_split!I$3 * 0.01</f>
        <v>1.4169844942755304E-2</v>
      </c>
      <c r="BX62" s="207">
        <f>INDEX($A$61:$H$74,MATCH($L62,$B$61:$B$74,0),MATCH($BQ$60,$A$61:$H$61,0))*고양시_Modal_split!J$3 * 0.01</f>
        <v>0.15515470505664442</v>
      </c>
      <c r="BY62" s="207">
        <f>INDEX($A$61:$H$74,MATCH($L62,$B$61:$B$74,0),MATCH($BQ$60,$A$61:$H$61,0))*고양시_Modal_split!K$3 * 0.01</f>
        <v>7.6455997892564589E-4</v>
      </c>
      <c r="BZ62" s="207">
        <f>INDEX($A$61:$H$74,MATCH($L62,$B$61:$B$74,0),MATCH($BQ$60,$A$61:$H$61,0))*고양시_Modal_split!L$3 * 0.01</f>
        <v>1.5393140909036335E-2</v>
      </c>
      <c r="CA62" s="207">
        <f>INDEX($A$61:$H$74,MATCH($L62,$B$61:$B$74,0),MATCH($BQ$60,$A$61:$H$61,0))*고양시_Modal_split!M$3 * 0.01</f>
        <v>1.1723253010193235E-3</v>
      </c>
      <c r="CB62" s="207">
        <f>INDEX($A$61:$H$74,MATCH($L62,$B$61:$B$74,0),MATCH($BQ$60,$A$61:$H$61,0))*고양시_Modal_split!N$3 * 0.01</f>
        <v>5.0970665261709726E-4</v>
      </c>
      <c r="CC62" s="207">
        <f>INDEX($A$61:$H$74,MATCH($L62,$B$61:$B$74,0),MATCH($BQ$60,$A$61:$H$61,0))*고양시_Modal_split!O$3 * 0.01</f>
        <v>9.1747197471077498E-4</v>
      </c>
      <c r="CD62" s="207">
        <f>INDEX($A$61:$H$74,MATCH($L62,$B$61:$B$74,0),MATCH($BQ$60,$A$61:$H$61,0))*고양시_Modal_split!P$3 * 0.01</f>
        <v>0.50970665261709724</v>
      </c>
      <c r="CE62" s="304">
        <f>M62+AA62+AO62+BC62+BQ62</f>
        <v>4.9170081537223504</v>
      </c>
      <c r="CF62" s="304">
        <f t="shared" ref="CF62:CF74" si="13">N62+AB62+AP62+BD62+BR62</f>
        <v>825.88176239129359</v>
      </c>
      <c r="CG62" s="304">
        <f t="shared" ref="CG62:CG74" si="14">O62+AC62+AQ62+BE62+BS62</f>
        <v>99.920629981000644</v>
      </c>
      <c r="CH62" s="304">
        <f t="shared" ref="CH62:CH74" si="15">P62+AD62+AR62+BF62+BT62</f>
        <v>161.03201703440698</v>
      </c>
      <c r="CI62" s="304">
        <f t="shared" ref="CI62:CI74" si="16">Q62+AE62+AS62+BG62+BU62</f>
        <v>16.155883933659151</v>
      </c>
      <c r="CJ62" s="304">
        <f t="shared" ref="CJ62:CJ74" si="17">R62+AF62+AT62+BH62+BV62</f>
        <v>0.17560743406151255</v>
      </c>
      <c r="CK62" s="304">
        <f t="shared" ref="CK62:CK74" si="18">S62+AG62+AU62+BI62+BW62</f>
        <v>48.81886666910048</v>
      </c>
      <c r="CL62" s="304">
        <f t="shared" ref="CL62:CL74" si="19">T62+AH62+AV62+BJ62+BX62</f>
        <v>534.54902928324418</v>
      </c>
      <c r="CM62" s="304">
        <f t="shared" ref="CM62:CM74" si="20">U62+AI62+AW62+BK62+BY62</f>
        <v>2.6341115109226885</v>
      </c>
      <c r="CN62" s="304">
        <f t="shared" ref="CN62:CN74" si="21">V62+AJ62+AX62+BL62+BZ62</f>
        <v>53.033445086576798</v>
      </c>
      <c r="CO62" s="304">
        <f t="shared" ref="CO62:CO74" si="22">W62+AK62+AY62+BM62+CA62</f>
        <v>4.0389709834147878</v>
      </c>
      <c r="CP62" s="304">
        <f t="shared" ref="CP62:CP74" si="23">X62+AL62+AZ62+BN62+CB62</f>
        <v>1.7560743406151258</v>
      </c>
      <c r="CQ62" s="304">
        <f t="shared" ref="CQ62:CQ74" si="24">Y62+AM62+BA62+BO62+CC62</f>
        <v>3.160933813107226</v>
      </c>
      <c r="CR62" s="304">
        <f t="shared" ref="CR62:CR74" si="25">Z62+AN62+BB62+BP62+CD62</f>
        <v>1756.0743406151257</v>
      </c>
      <c r="CS62" s="305">
        <f>H62-CR62</f>
        <v>0</v>
      </c>
      <c r="CV62" s="265" t="s">
        <v>605</v>
      </c>
      <c r="CW62" s="265" t="s">
        <v>606</v>
      </c>
      <c r="CX62" s="267">
        <f>INDEX($M$60:$Z$74,MATCH($CW62,$L$60:$L$74,0),MATCH(CX$61,$M$61:$Z$61,0))/INDEX(고양시_재차인원!$D$4:$H$35,MATCH("고양시",고양시_재차인원!$B$4:$B$35,0),MATCH($CX$60,고양시_재차인원!$D$4:$H$4,0))</f>
        <v>80.815695041021598</v>
      </c>
      <c r="CY62" s="267">
        <f>INDEX($M$60:$Z$74,MATCH($CW62,$L$60:$L$74,0),MATCH(CY$61,$M$61:$Z$61,0))/INDEX(고양시_재차인원!$K$4:$O$20,MATCH("경기도",고양시_재차인원!$K$4:$K$20,0),MATCH($CY$61,고양시_재차인원!$K$4:$O$4,0))</f>
        <v>6.6849335004988723E-4</v>
      </c>
      <c r="CZ62" s="267">
        <f>INDEX($M$60:$Z$74,MATCH($CW62,$L$60:$L$74,0),MATCH(CZ$61,$M$61:$Z$61,0))/INDEX(고양시_재차인원!$K$4:$O$20,MATCH("경기도",고양시_재차인원!$K$4:$K$20,0),MATCH($CZ$61,고양시_재차인원!$K$4:$O$4,0))</f>
        <v>0.18584115131386869</v>
      </c>
      <c r="DA62" s="267">
        <f>INDEX($M$60:$Z$74,MATCH($CW62,$L$60:$L$74,0),MATCH(DA$61,$M$61:$Z$61,0))/INDEX(고양시_재차인원!$D$4:$H$35,MATCH("고양시",고양시_재차인원!$B$4:$B$35,0),MATCH($CX$60,고양시_재차인원!$D$4:$H$4,0))</f>
        <v>5.1895258138185252</v>
      </c>
      <c r="DB62" s="267">
        <f>INDEX($AA$60:$AN$74,MATCH($CW62,$L$60:$L$74,0),MATCH(DB$61,$AA$61:$AN$61,0))/INDEX(고양시_재차인원!$D$4:$H$35,MATCH("고양시",고양시_재차인원!$B$4:$B$35,0),MATCH($DB$60,고양시_재차인원!$D$4:$H$4,0))</f>
        <v>499.18131656234317</v>
      </c>
      <c r="DC62" s="267">
        <f>INDEX($AA$60:$AN$74,MATCH($CW62,$L$60:$L$74,0),MATCH(DC$61,$AA$61:$AN$61,0))/INDEX(고양시_재차인원!$K$4:$O$20,MATCH("경기도",고양시_재차인원!$K$4:$K$20,0),MATCH($DC$61,고양시_재차인원!$K$4:$O$4,0))</f>
        <v>5.1982934363203007E-3</v>
      </c>
      <c r="DD62" s="267">
        <f>INDEX($AA$60:$AN$74,MATCH($CW62,$L$60:$L$74,0),MATCH(DD$61,$AA$61:$AN$61,0))/INDEX(고양시_재차인원!$K$4:$O$20,MATCH("경기도",고양시_재차인원!$K$4:$K$20,0),MATCH($DD$61,고양시_재차인원!$K$4:$O$4,0))</f>
        <v>1.4451255752970436</v>
      </c>
      <c r="DE62" s="267">
        <f>INDEX($AA$60:$AN$74,MATCH($CW62,$L$60:$L$74,0),MATCH(DE$61,$AA$61:$AN$61,0))/INDEX(고양시_재차인원!$D$4:$H$35,MATCH("고양시",고양시_재차인원!$B$4:$B$35,0),MATCH($DB$60,고양시_재차인원!$D$4:$H$4,0))</f>
        <v>32.054594429476431</v>
      </c>
      <c r="DF62" s="267">
        <f>INDEX($AO$60:$BB$74,MATCH($CW62,$L$60:$L$74,0),MATCH(DF$61,$AO$61:$BB$61,0))/INDEX(고양시_재차인원!$D$4:$H$35,MATCH("고양시",고양시_재차인원!$B$4:$B$35,0),MATCH($DF$60,고양시_재차인원!$D$4:$H$4,0))</f>
        <v>23.998620958410825</v>
      </c>
      <c r="DG62" s="267">
        <f>INDEX($AO$60:$BB$74,MATCH($CW62,$L$60:$L$74,0),MATCH(DG$61,$AO$61:$BB$61,0))/INDEX(고양시_재차인원!$K$4:$O$20,MATCH("경기도",고양시_재차인원!$K$4:$K$20,0),MATCH($DG$61,고양시_재차인원!$K$4:$O$4,0))</f>
        <v>2.3041619208371555E-4</v>
      </c>
      <c r="DH62" s="267">
        <f>INDEX($AO$60:$BB$74,MATCH($CW62,$L$60:$L$74,0),MATCH(DH$61,$AO$61:$BB$61,0))/INDEX(고양시_재차인원!$K$4:$O$20,MATCH("경기도",고양시_재차인원!$K$4:$K$20,0),MATCH($DH$61,고양시_재차인원!$K$4:$O$4,0))</f>
        <v>6.4055701399272927E-2</v>
      </c>
      <c r="DI62" s="267">
        <f>INDEX($AO$60:$BB$74,MATCH($CW62,$L$60:$L$74,0),MATCH(DI$61,$AO$61:$BB$61,0))/INDEX(고양시_재차인원!$D$4:$H$35,MATCH("고양시",고양시_재차인원!$B$4:$B$35,0),MATCH($DF$60,고양시_재차인원!$D$4:$H$4,0))</f>
        <v>1.541055396436332</v>
      </c>
      <c r="DJ62" s="267">
        <f>INDEX($BC$60:$BP$74,MATCH($CW62,$L$60:$L$74,0),MATCH(DJ$61,$BC$61:$BP$61,0))/INDEX(고양시_재차인원!$D$4:$H$35,MATCH("고양시",고양시_재차인원!$B$4:$B$35,0),MATCH($DJ$60,고양시_재차인원!$D$4:$H$4,0))</f>
        <v>6.2209785136458903E-2</v>
      </c>
      <c r="DK62" s="267">
        <f>INDEX($BC$60:$BP$74,MATCH($CW62,$L$60:$L$74,0),MATCH(DK$61,$BC$61:$BP$61,0))/INDEX(고양시_재차인원!$K$4:$O$20,MATCH("경기도",고양시_재차인원!$K$4:$K$20,0),MATCH($DK$61,고양시_재차인원!$K$4:$O$4,0))</f>
        <v>6.2485747005753517E-7</v>
      </c>
      <c r="DL62" s="267">
        <f>INDEX($BC$60:$BP$74,MATCH($CW62,$L$60:$L$74,0),MATCH(DL$61,$BC$61:$BP$61,0))/INDEX(고양시_재차인원!$K$4:$O$20,MATCH("경기도",고양시_재차인원!$K$4:$K$20,0),MATCH($DL$61,고양시_재차인원!$K$4:$O$4,0))</f>
        <v>1.7371037667599475E-4</v>
      </c>
      <c r="DM62" s="267">
        <f>INDEX($BC$60:$BP$74,MATCH($CW62,$L$60:$L$74,0),MATCH(DM$61,$BC$61:$BP$61,0))/INDEX(고양시_재차인원!$D$4:$H$35,MATCH("고양시",고양시_재차인원!$B$4:$B$35,0),MATCH($DJ$60,고양시_재차인원!$D$4:$H$4,0))</f>
        <v>3.9947597514800324E-3</v>
      </c>
      <c r="DN62" s="267">
        <f>INDEX($BQ$60:$CD$74,MATCH($CW62,$L$60:$L$74,0),MATCH(DN$61,$BQ$61:$CD$61,0))/INDEX(고양시_재차인원!$D$4:$H$35,MATCH("고양시",고양시_재차인원!$B$4:$B$35,0),MATCH($DN$60,고양시_재차인원!$D$4:$H$4,0))</f>
        <v>0.19025003073477845</v>
      </c>
      <c r="DO62" s="267">
        <f>INDEX($BQ$60:$CD$74,MATCH($CW62,$L$60:$L$74,0),MATCH(DO$61,$BQ$61:$CD$61,0))/INDEX(고양시_재차인원!$K$4:$O$20,MATCH("경기도",고양시_재차인원!$K$4:$K$20,0),MATCH($DO$61,고양시_재차인원!$K$4:$O$4,0))</f>
        <v>1.7704294984963434E-6</v>
      </c>
      <c r="DP62" s="267">
        <f>INDEX($BQ$60:$CD$74,MATCH($CW62,$L$60:$L$74,0),MATCH(DP$61,$BQ$61:$CD$61,0))/INDEX(고양시_재차인원!$K$4:$O$20,MATCH("경기도",고양시_재차인원!$K$4:$K$20,0),MATCH($DP$61,고양시_재차인원!$K$4:$O$4,0))</f>
        <v>4.9217940058198341E-4</v>
      </c>
      <c r="DQ62" s="267">
        <f>INDEX($BQ$60:$CD$74,MATCH($CW62,$L$60:$L$74,0),MATCH(DQ$61,$BQ$61:$CD$61,0))/INDEX(고양시_재차인원!$D$4:$H$35,MATCH("고양시",고양시_재차인원!$B$4:$B$35,0),MATCH($DN$60,고양시_재차인원!$D$4:$H$4,0))</f>
        <v>1.2216778499235187E-2</v>
      </c>
      <c r="DR62" s="270">
        <f>CX62+DB62+DF62+DJ62+DN62</f>
        <v>604.2480923776468</v>
      </c>
      <c r="DS62" s="270">
        <f t="shared" ref="DS62:DS74" si="26">CY62+DC62+DG62+DK62+DO62</f>
        <v>6.0995982654224587E-3</v>
      </c>
      <c r="DT62" s="270">
        <f t="shared" ref="DT62:DT74" si="27">CZ62+DD62+DH62+DL62+DP62</f>
        <v>1.6956883177874429</v>
      </c>
      <c r="DU62" s="270">
        <f t="shared" ref="DU62:DU74" si="28">DA62+DE62+DI62+DM62+DQ62</f>
        <v>38.801387177982008</v>
      </c>
      <c r="DW62" s="278" t="s">
        <v>605</v>
      </c>
      <c r="DX62" s="278" t="s">
        <v>606</v>
      </c>
      <c r="DY62" s="281">
        <f>DR62+DU62</f>
        <v>643.04947955562875</v>
      </c>
      <c r="DZ62" s="281">
        <f>DS62+DT62</f>
        <v>1.7017879160528653</v>
      </c>
      <c r="EB62" s="278" t="s">
        <v>623</v>
      </c>
      <c r="EC62" s="278" t="s">
        <v>606</v>
      </c>
      <c r="ED62" s="309">
        <f>DY62+DY$68*($EN64/SUM($EN$64:$EN$67))</f>
        <v>755.18433370830189</v>
      </c>
      <c r="EE62" s="309">
        <f t="shared" ref="EE62:EE65" si="29">DZ62+DZ$68*($EN64/SUM($EN$64:$EN$67))</f>
        <v>1.9985453909166038</v>
      </c>
      <c r="EF62" t="b">
        <f>SUM(ED62:EE65)=SUM(DY62:DZ65,DY68:DZ68)</f>
        <v>1</v>
      </c>
      <c r="EK62" s="420" t="s">
        <v>12</v>
      </c>
      <c r="EL62" s="420" t="s">
        <v>12</v>
      </c>
      <c r="EM62" s="420" t="s">
        <v>567</v>
      </c>
      <c r="EN62" s="420">
        <v>14267.0414</v>
      </c>
      <c r="EO62" s="420">
        <v>0.4735987268619668</v>
      </c>
      <c r="EP62" s="421">
        <v>849001</v>
      </c>
      <c r="EQ62" s="422">
        <f>VLOOKUP($EL62,$EC$62:$EE$73,2,FALSE)*$EO62 * $CW$9*(1-$DA$5)</f>
        <v>30.472020072267711</v>
      </c>
      <c r="ER62" s="422">
        <f>VLOOKUP($EL62,$EC$62:$EE$73,3,FALSE)*$EO62*$CW$9*(1-$DA$5)</f>
        <v>8.0642185687702622E-2</v>
      </c>
      <c r="ES62">
        <v>0</v>
      </c>
      <c r="EU62" s="306" t="s">
        <v>12</v>
      </c>
      <c r="EV62" s="306" t="s">
        <v>12</v>
      </c>
      <c r="EW62" s="306" t="s">
        <v>567</v>
      </c>
      <c r="EX62" s="306">
        <v>14267.0414</v>
      </c>
      <c r="EY62" s="306">
        <v>0.4735987268619668</v>
      </c>
      <c r="EZ62" s="307">
        <v>849001</v>
      </c>
      <c r="FA62" s="308">
        <f>EQ62*$EG$55</f>
        <v>30.472020072267711</v>
      </c>
      <c r="FB62" s="308">
        <f t="shared" ref="FB62:FB81" si="30">ER62*$EG$55</f>
        <v>8.0642185687702622E-2</v>
      </c>
      <c r="FD62" s="101"/>
      <c r="FE62" s="101"/>
      <c r="FF62" s="101"/>
      <c r="FG62" s="101"/>
      <c r="FH62" s="101"/>
      <c r="FI62" s="374"/>
      <c r="FJ62" s="404"/>
      <c r="FK62" s="404"/>
    </row>
    <row r="63" spans="1:167">
      <c r="A63" s="205" t="s">
        <v>605</v>
      </c>
      <c r="B63" s="205" t="s">
        <v>607</v>
      </c>
      <c r="C63" s="201">
        <f>$L30*KTDB_TripDistribution_2045!L$12</f>
        <v>191.31593214464993</v>
      </c>
      <c r="D63" s="201">
        <f>$L30*KTDB_TripDistribution_2045!M$12</f>
        <v>1487.6982011216962</v>
      </c>
      <c r="E63" s="201">
        <f>$L30*KTDB_TripDistribution_2045!N$12</f>
        <v>65.942748071356348</v>
      </c>
      <c r="F63" s="201">
        <f>$L30*KTDB_TripDistribution_2045!O$12</f>
        <v>0.17882779137994984</v>
      </c>
      <c r="G63" s="201">
        <f>$L30*KTDB_TripDistribution_2045!P$12</f>
        <v>0.50667874224318943</v>
      </c>
      <c r="H63" s="201">
        <f>$K30*KTDB_TripDistribution_2045!Q$12</f>
        <v>1745.6423878713258</v>
      </c>
      <c r="J63" s="230">
        <f t="shared" si="12"/>
        <v>1745.6423878713258</v>
      </c>
      <c r="K63" s="206" t="s">
        <v>605</v>
      </c>
      <c r="L63" s="206" t="s">
        <v>607</v>
      </c>
      <c r="M63" s="206">
        <f>INDEX($A$61:$H$74,MATCH($L63,$B$61:$B$74,0),MATCH($M$60,$A$61:$H$61,0))*고양시_Modal_split!C$3 * 0.01</f>
        <v>0.53568461000501977</v>
      </c>
      <c r="N63" s="206">
        <f>INDEX($A$61:$H$74,MATCH($L63,$B$61:$B$74,0),MATCH($M$60,$A$61:$H$61,0))*고양시_Modal_split!D$3 * 0.01</f>
        <v>89.97588288762887</v>
      </c>
      <c r="O63" s="206">
        <f>INDEX($A$61:$H$74,MATCH($L63,$B$61:$B$74,0),MATCH($M$60,$A$61:$H$61,0))*고양시_Modal_split!E$3 * 0.01</f>
        <v>10.88587653903058</v>
      </c>
      <c r="P63" s="206">
        <f>INDEX($A$61:$H$74,MATCH($L63,$B$61:$B$74,0),MATCH($M$60,$A$61:$H$61,0))*고양시_Modal_split!F$3 * 0.01</f>
        <v>17.543670977664398</v>
      </c>
      <c r="Q63" s="206">
        <f>INDEX($A$61:$H$74,MATCH($L63,$B$61:$B$74,0),MATCH($M$60,$A$61:$H$61,0))*고양시_Modal_split!G$3 * 0.01</f>
        <v>1.7601065757307794</v>
      </c>
      <c r="R63" s="206">
        <f>INDEX($A$61:$H$74,MATCH($L63,$B$61:$B$74,0),MATCH($M$60,$A$61:$H$61,0))*고양시_Modal_split!H$3 * 0.01</f>
        <v>1.9131593214464997E-2</v>
      </c>
      <c r="S63" s="206">
        <f>INDEX($A$61:$H$74,MATCH($L63,$B$61:$B$74,0),MATCH($M$60,$A$61:$H$61,0))*고양시_Modal_split!I$3 * 0.01</f>
        <v>5.3185829136212686</v>
      </c>
      <c r="T63" s="206">
        <f>INDEX($A$61:$H$74,MATCH($L63,$B$61:$B$74,0),MATCH($M$60,$A$61:$H$61,0))*고양시_Modal_split!J$3 * 0.01</f>
        <v>58.236569744831442</v>
      </c>
      <c r="U63" s="206">
        <f>INDEX($A$61:$H$74,MATCH($L63,$B$61:$B$74,0),MATCH($M$60,$A$61:$H$61,0))*고양시_Modal_split!K$3 * 0.01</f>
        <v>0.28697389821697489</v>
      </c>
      <c r="V63" s="206">
        <f>INDEX($A$61:$H$74,MATCH($L63,$B$61:$B$74,0),MATCH($M$60,$A$61:$H$61,0))*고양시_Modal_split!L$3 * 0.01</f>
        <v>5.7777411507684278</v>
      </c>
      <c r="W63" s="206">
        <f>INDEX($A$61:$H$74,MATCH($L63,$B$61:$B$74,0),MATCH($M$60,$A$61:$H$61,0))*고양시_Modal_split!M$3 * 0.01</f>
        <v>0.44002664393269486</v>
      </c>
      <c r="X63" s="206">
        <f>INDEX($A$61:$H$74,MATCH($L63,$B$61:$B$74,0),MATCH($M$60,$A$61:$H$61,0))*고양시_Modal_split!N$3 * 0.01</f>
        <v>0.19131593214464995</v>
      </c>
      <c r="Y63" s="206">
        <f>INDEX($A$61:$H$74,MATCH($L63,$B$61:$B$74,0),MATCH($M$60,$A$61:$H$61,0))*고양시_Modal_split!O$3 * 0.01</f>
        <v>0.34436867786036984</v>
      </c>
      <c r="Z63" s="209">
        <f>INDEX($A$61:$H$74,MATCH($L63,$B$61:$B$74,0),MATCH($M$60,$A$61:$H$61,0))*고양시_Modal_split!P$3 * 0.01</f>
        <v>191.31593214464993</v>
      </c>
      <c r="AA63" s="207">
        <f>INDEX($A$61:$H$74,MATCH($L63,$B$61:$B$74,0),MATCH($AA$60,$A$61:$H$61,0))*고양시_Modal_split!C$3 * 0.01</f>
        <v>4.1655549631407487</v>
      </c>
      <c r="AB63" s="207">
        <f>INDEX($A$61:$H$74,MATCH($L63,$B$61:$B$74,0),MATCH($AA$60,$A$61:$H$61,0))*고양시_Modal_split!D$3 * 0.01</f>
        <v>699.66446398753385</v>
      </c>
      <c r="AC63" s="207">
        <f>INDEX($A$61:$H$74,MATCH($L63,$B$61:$B$74,0),MATCH($AA$60,$A$61:$H$61,0))*고양시_Modal_split!E$3 * 0.01</f>
        <v>84.650027643824501</v>
      </c>
      <c r="AD63" s="207">
        <f>INDEX($A$61:$H$74,MATCH($L63,$B$61:$B$74,0),MATCH($AA$60,$A$61:$H$61,0))*고양시_Modal_split!F$3 * 0.01</f>
        <v>136.42192504285956</v>
      </c>
      <c r="AE63" s="207">
        <f>INDEX($A$61:$H$74,MATCH($L63,$B$61:$B$74,0),MATCH($AA$60,$A$61:$H$61,0))*고양시_Modal_split!G$3 * 0.01</f>
        <v>13.686823450319606</v>
      </c>
      <c r="AF63" s="207">
        <f>INDEX($A$61:$H$74,MATCH($L63,$B$61:$B$74,0),MATCH($AA$60,$A$61:$H$61,0))*고양시_Modal_split!H$3 * 0.01</f>
        <v>0.14876982011216963</v>
      </c>
      <c r="AG63" s="207">
        <f>INDEX($A$61:$H$74,MATCH($L63,$B$61:$B$74,0),MATCH($AA$60,$A$61:$H$61,0))*고양시_Modal_split!I$3 * 0.01</f>
        <v>41.358009991183152</v>
      </c>
      <c r="AH63" s="207">
        <f>INDEX($A$61:$H$74,MATCH($L63,$B$61:$B$74,0),MATCH($AA$60,$A$61:$H$61,0))*고양시_Modal_split!J$3 * 0.01</f>
        <v>452.85533242144436</v>
      </c>
      <c r="AI63" s="207">
        <f>INDEX($A$61:$H$74,MATCH($L63,$B$61:$B$74,0),MATCH($AA$60,$A$61:$H$61,0))*고양시_Modal_split!K$3 * 0.01</f>
        <v>2.2315473016825442</v>
      </c>
      <c r="AJ63" s="207">
        <f>INDEX($A$61:$H$74,MATCH($L63,$B$61:$B$74,0),MATCH($AA$60,$A$61:$H$61,0))*고양시_Modal_split!L$3 * 0.01</f>
        <v>44.92848567387523</v>
      </c>
      <c r="AK63" s="207">
        <f>INDEX($A$61:$H$74,MATCH($L63,$B$61:$B$74,0),MATCH($AA$60,$A$61:$H$61,0))*고양시_Modal_split!M$3 * 0.01</f>
        <v>3.4217058625799015</v>
      </c>
      <c r="AL63" s="207">
        <f>INDEX($A$61:$H$74,MATCH($L63,$B$61:$B$74,0),MATCH($AA$60,$A$61:$H$61,0))*고양시_Modal_split!N$3 * 0.01</f>
        <v>1.4876982011216964</v>
      </c>
      <c r="AM63" s="207">
        <f>INDEX($A$61:$H$74,MATCH($L63,$B$61:$B$74,0),MATCH($AA$60,$A$61:$H$61,0))*고양시_Modal_split!O$3 * 0.01</f>
        <v>2.677856762019053</v>
      </c>
      <c r="AN63" s="207">
        <f>INDEX($A$61:$H$74,MATCH($L63,$B$61:$B$74,0),MATCH($AA$60,$A$61:$H$61,0))*고양시_Modal_split!P$3 * 0.01</f>
        <v>1487.6982011216965</v>
      </c>
      <c r="AO63" s="303">
        <f>INDEX($A$61:$H$74,MATCH($L63,$B$61:$B$74,0),MATCH($AO$60,$A$61:$H$61,0))*고양시_Modal_split!C$3 * 0.01</f>
        <v>0.18463969459979776</v>
      </c>
      <c r="AP63" s="303">
        <f>INDEX($A$61:$H$74,MATCH($L63,$B$61:$B$74,0),MATCH($AO$60,$A$61:$H$61,0))*고양시_Modal_split!D$3 * 0.01</f>
        <v>31.012874417958894</v>
      </c>
      <c r="AQ63" s="303">
        <f>INDEX($A$61:$H$74,MATCH($L63,$B$61:$B$74,0),MATCH($AO$60,$A$61:$H$61,0))*고양시_Modal_split!E$3 * 0.01</f>
        <v>3.752142365260176</v>
      </c>
      <c r="AR63" s="303">
        <f>INDEX($A$61:$H$74,MATCH($L63,$B$61:$B$74,0),MATCH($AO$60,$A$61:$H$61,0))*고양시_Modal_split!F$3 * 0.01</f>
        <v>6.0469499981433774</v>
      </c>
      <c r="AS63" s="303">
        <f>INDEX($A$61:$H$74,MATCH($L63,$B$61:$B$74,0),MATCH($AO$60,$A$61:$H$61,0))*고양시_Modal_split!G$3 * 0.01</f>
        <v>0.60667328225647832</v>
      </c>
      <c r="AT63" s="303">
        <f>INDEX($A$61:$H$74,MATCH($L63,$B$61:$B$74,0),MATCH($AO$60,$A$61:$H$61,0))*고양시_Modal_split!H$3 * 0.01</f>
        <v>6.594274807135635E-3</v>
      </c>
      <c r="AU63" s="303">
        <f>INDEX($A$61:$H$74,MATCH($L63,$B$61:$B$74,0),MATCH($AO$60,$A$61:$H$61,0))*고양시_Modal_split!I$3 * 0.01</f>
        <v>1.8332083963837065</v>
      </c>
      <c r="AV63" s="303">
        <f>INDEX($A$61:$H$74,MATCH($L63,$B$61:$B$74,0),MATCH($AO$60,$A$61:$H$61,0))*고양시_Modal_split!J$3 * 0.01</f>
        <v>20.072972512920874</v>
      </c>
      <c r="AW63" s="303">
        <f>INDEX($A$61:$H$74,MATCH($L63,$B$61:$B$74,0),MATCH($AO$60,$A$61:$H$61,0))*고양시_Modal_split!K$3 * 0.01</f>
        <v>9.8914122107034527E-2</v>
      </c>
      <c r="AX63" s="303">
        <f>INDEX($A$61:$H$74,MATCH($L63,$B$61:$B$74,0),MATCH($AO$60,$A$61:$H$61,0))*고양시_Modal_split!L$3 * 0.01</f>
        <v>1.9914709917549618</v>
      </c>
      <c r="AY63" s="303">
        <f>INDEX($A$61:$H$74,MATCH($L63,$B$61:$B$74,0),MATCH($AO$60,$A$61:$H$61,0))*고양시_Modal_split!M$3 * 0.01</f>
        <v>0.15166832056411958</v>
      </c>
      <c r="AZ63" s="303">
        <f>INDEX($A$61:$H$74,MATCH($L63,$B$61:$B$74,0),MATCH($AO$60,$A$61:$H$61,0))*고양시_Modal_split!N$3 * 0.01</f>
        <v>6.5942748071356347E-2</v>
      </c>
      <c r="BA63" s="207">
        <f>INDEX($A$61:$H$74,MATCH($L63,$B$61:$B$74,0),MATCH($AO$60,$A$61:$H$61,0))*고양시_Modal_split!O$3 * 0.01</f>
        <v>0.11869694652844143</v>
      </c>
      <c r="BB63" s="207">
        <f>INDEX($A$61:$H$74,MATCH($L63,$B$61:$B$74,0),MATCH($AO$60,$A$61:$H$61,0))*고양시_Modal_split!P$3 * 0.01</f>
        <v>65.942748071356348</v>
      </c>
      <c r="BC63" s="207">
        <f>INDEX($A$61:$H$74,MATCH($L63,$B$61:$B$74,0),MATCH($BC$60,$A$61:$H$61,0))*고양시_Modal_split!C$3 * 0.01</f>
        <v>5.0071781586385946E-4</v>
      </c>
      <c r="BD63" s="207">
        <f>INDEX($A$61:$H$74,MATCH($L63,$B$61:$B$74,0),MATCH($BC$60,$A$61:$H$61,0))*고양시_Modal_split!D$3 * 0.01</f>
        <v>8.4102710285990409E-2</v>
      </c>
      <c r="BE63" s="207">
        <f>INDEX($A$61:$H$74,MATCH($L63,$B$61:$B$74,0),MATCH($BC$60,$A$61:$H$61,0))*고양시_Modal_split!E$3 * 0.01</f>
        <v>1.0175301329519144E-2</v>
      </c>
      <c r="BF63" s="207">
        <f>INDEX($A$61:$H$74,MATCH($L63,$B$61:$B$74,0),MATCH($BC$60,$A$61:$H$61,0))*고양시_Modal_split!F$3 * 0.01</f>
        <v>1.6398508469541401E-2</v>
      </c>
      <c r="BG63" s="207">
        <f>INDEX($A$61:$H$74,MATCH($L63,$B$61:$B$74,0),MATCH($BC$60,$A$61:$H$61,0))*고양시_Modal_split!G$3 * 0.01</f>
        <v>1.6452156806955383E-3</v>
      </c>
      <c r="BH63" s="207">
        <f>INDEX($A$61:$H$74,MATCH($L63,$B$61:$B$74,0),MATCH($BC$60,$A$61:$H$61,0))*고양시_Modal_split!H$3 * 0.01</f>
        <v>1.7882779137994983E-5</v>
      </c>
      <c r="BI63" s="207">
        <f>INDEX($A$61:$H$74,MATCH($L63,$B$61:$B$74,0),MATCH($BC$60,$A$61:$H$61,0))*고양시_Modal_split!I$3 * 0.01</f>
        <v>4.9714126003626057E-3</v>
      </c>
      <c r="BJ63" s="207">
        <f>INDEX($A$61:$H$74,MATCH($L63,$B$61:$B$74,0),MATCH($BC$60,$A$61:$H$61,0))*고양시_Modal_split!J$3 * 0.01</f>
        <v>5.4435179696056733E-2</v>
      </c>
      <c r="BK63" s="207">
        <f>INDEX($A$61:$H$74,MATCH($L63,$B$61:$B$74,0),MATCH($BC$60,$A$61:$H$61,0))*고양시_Modal_split!K$3 * 0.01</f>
        <v>2.6824168706992473E-4</v>
      </c>
      <c r="BL63" s="207">
        <f>INDEX($A$61:$H$74,MATCH($L63,$B$61:$B$74,0),MATCH($BC$60,$A$61:$H$61,0))*고양시_Modal_split!L$3 * 0.01</f>
        <v>5.4005992996744856E-3</v>
      </c>
      <c r="BM63" s="207">
        <f>INDEX($A$61:$H$74,MATCH($L63,$B$61:$B$74,0),MATCH($BC$60,$A$61:$H$61,0))*고양시_Modal_split!M$3 * 0.01</f>
        <v>4.1130392017388459E-4</v>
      </c>
      <c r="BN63" s="207">
        <f>INDEX($A$61:$H$74,MATCH($L63,$B$61:$B$74,0),MATCH($BC$60,$A$61:$H$61,0))*고양시_Modal_split!N$3 * 0.01</f>
        <v>1.7882779137994985E-4</v>
      </c>
      <c r="BO63" s="207">
        <f>INDEX($A$61:$H$74,MATCH($L63,$B$61:$B$74,0),MATCH($BC$60,$A$61:$H$61,0))*고양시_Modal_split!O$3 * 0.01</f>
        <v>3.2189002448390971E-4</v>
      </c>
      <c r="BP63" s="207">
        <f>INDEX($A$61:$H$74,MATCH($L63,$B$61:$B$74,0),MATCH($BC$60,$A$61:$H$61,0))*고양시_Modal_split!P$3 * 0.01</f>
        <v>0.17882779137994984</v>
      </c>
      <c r="BQ63" s="207">
        <f>INDEX($A$61:$H$74,MATCH($L63,$B$61:$B$74,0),MATCH($BQ$60,$A$61:$H$61,0))*고양시_Modal_split!C$3 * 0.01</f>
        <v>1.4187004782809304E-3</v>
      </c>
      <c r="BR63" s="207">
        <f>INDEX($A$61:$H$74,MATCH($L63,$B$61:$B$74,0),MATCH($BQ$60,$A$61:$H$61,0))*고양시_Modal_split!D$3 * 0.01</f>
        <v>0.23829101247697199</v>
      </c>
      <c r="BS63" s="207">
        <f>INDEX($A$61:$H$74,MATCH($L63,$B$61:$B$74,0),MATCH($BQ$60,$A$61:$H$61,0))*고양시_Modal_split!E$3 * 0.01</f>
        <v>2.8830020433637474E-2</v>
      </c>
      <c r="BT63" s="207">
        <f>INDEX($A$61:$H$74,MATCH($L63,$B$61:$B$74,0),MATCH($BQ$60,$A$61:$H$61,0))*고양시_Modal_split!F$3 * 0.01</f>
        <v>4.646244066370047E-2</v>
      </c>
      <c r="BU63" s="207">
        <f>INDEX($A$61:$H$74,MATCH($L63,$B$61:$B$74,0),MATCH($BQ$60,$A$61:$H$61,0))*고양시_Modal_split!G$3 * 0.01</f>
        <v>4.6614444286373425E-3</v>
      </c>
      <c r="BV63" s="207">
        <f>INDEX($A$61:$H$74,MATCH($L63,$B$61:$B$74,0),MATCH($BQ$60,$A$61:$H$61,0))*고양시_Modal_split!H$3 * 0.01</f>
        <v>5.0667874224318948E-5</v>
      </c>
      <c r="BW63" s="207">
        <f>INDEX($A$61:$H$74,MATCH($L63,$B$61:$B$74,0),MATCH($BQ$60,$A$61:$H$61,0))*고양시_Modal_split!I$3 * 0.01</f>
        <v>1.4085669034360666E-2</v>
      </c>
      <c r="BX63" s="207">
        <f>INDEX($A$61:$H$74,MATCH($L63,$B$61:$B$74,0),MATCH($BQ$60,$A$61:$H$61,0))*고양시_Modal_split!J$3 * 0.01</f>
        <v>0.15423300913882687</v>
      </c>
      <c r="BY63" s="207">
        <f>INDEX($A$61:$H$74,MATCH($L63,$B$61:$B$74,0),MATCH($BQ$60,$A$61:$H$61,0))*고양시_Modal_split!K$3 * 0.01</f>
        <v>7.6001811336478414E-4</v>
      </c>
      <c r="BZ63" s="207">
        <f>INDEX($A$61:$H$74,MATCH($L63,$B$61:$B$74,0),MATCH($BQ$60,$A$61:$H$61,0))*고양시_Modal_split!L$3 * 0.01</f>
        <v>1.5301698015744322E-2</v>
      </c>
      <c r="CA63" s="207">
        <f>INDEX($A$61:$H$74,MATCH($L63,$B$61:$B$74,0),MATCH($BQ$60,$A$61:$H$61,0))*고양시_Modal_split!M$3 * 0.01</f>
        <v>1.1653611071593356E-3</v>
      </c>
      <c r="CB63" s="207">
        <f>INDEX($A$61:$H$74,MATCH($L63,$B$61:$B$74,0),MATCH($BQ$60,$A$61:$H$61,0))*고양시_Modal_split!N$3 * 0.01</f>
        <v>5.0667874224318943E-4</v>
      </c>
      <c r="CC63" s="207">
        <f>INDEX($A$61:$H$74,MATCH($L63,$B$61:$B$74,0),MATCH($BQ$60,$A$61:$H$61,0))*고양시_Modal_split!O$3 * 0.01</f>
        <v>9.1202173603774101E-4</v>
      </c>
      <c r="CD63" s="207">
        <f>INDEX($A$61:$H$74,MATCH($L63,$B$61:$B$74,0),MATCH($BQ$60,$A$61:$H$61,0))*고양시_Modal_split!P$3 * 0.01</f>
        <v>0.50667874224318943</v>
      </c>
      <c r="CE63" s="304">
        <f t="shared" ref="CE63:CE74" si="31">M63+AA63+AO63+BC63+BQ63</f>
        <v>4.8877986860397113</v>
      </c>
      <c r="CF63" s="304">
        <f t="shared" si="13"/>
        <v>820.97561501588461</v>
      </c>
      <c r="CG63" s="304">
        <f t="shared" si="14"/>
        <v>99.327051869878403</v>
      </c>
      <c r="CH63" s="304">
        <f t="shared" si="15"/>
        <v>160.07540696780057</v>
      </c>
      <c r="CI63" s="304">
        <f t="shared" si="16"/>
        <v>16.059909968416196</v>
      </c>
      <c r="CJ63" s="304">
        <f t="shared" si="17"/>
        <v>0.17456423878713259</v>
      </c>
      <c r="CK63" s="304">
        <f t="shared" si="18"/>
        <v>48.528858382822847</v>
      </c>
      <c r="CL63" s="304">
        <f t="shared" si="19"/>
        <v>531.37354286803156</v>
      </c>
      <c r="CM63" s="304">
        <f t="shared" si="20"/>
        <v>2.6184635818069881</v>
      </c>
      <c r="CN63" s="304">
        <f t="shared" si="21"/>
        <v>52.71840011371404</v>
      </c>
      <c r="CO63" s="304">
        <f t="shared" si="22"/>
        <v>4.0149774921040491</v>
      </c>
      <c r="CP63" s="304">
        <f t="shared" si="23"/>
        <v>1.7456423878713259</v>
      </c>
      <c r="CQ63" s="304">
        <f t="shared" si="24"/>
        <v>3.1421562981683859</v>
      </c>
      <c r="CR63" s="304">
        <f t="shared" si="25"/>
        <v>1745.6423878713258</v>
      </c>
      <c r="CS63" s="305">
        <f t="shared" ref="CS63:CS74" si="32">H63-CR63</f>
        <v>0</v>
      </c>
      <c r="CV63" s="265" t="s">
        <v>605</v>
      </c>
      <c r="CW63" s="265" t="s">
        <v>607</v>
      </c>
      <c r="CX63" s="267">
        <f>INDEX($M$60:$Z$74,MATCH($CW63,$L$60:$L$74,0),MATCH(CX$61,$M$61:$Z$61,0))/INDEX(고양시_재차인원!$D$4:$H$35,MATCH("고양시",고양시_재차인원!$B$4:$B$35,0),MATCH($CX$60,고양시_재차인원!$D$4:$H$4,0))</f>
        <v>80.3356097210972</v>
      </c>
      <c r="CY63" s="267">
        <f>INDEX($M$60:$Z$74,MATCH($CW63,$L$60:$L$74,0),MATCH(CY$61,$M$61:$Z$61,0))/INDEX(고양시_재차인원!$K$4:$O$20,MATCH("경기도",고양시_재차인원!$K$4:$K$20,0),MATCH($CY$61,고양시_재차인원!$K$4:$O$4,0))</f>
        <v>6.6452216792167414E-4</v>
      </c>
      <c r="CZ63" s="267">
        <f>INDEX($M$60:$Z$74,MATCH($CW63,$L$60:$L$74,0),MATCH(CZ$61,$M$61:$Z$61,0))/INDEX(고양시_재차인원!$K$4:$O$20,MATCH("경기도",고양시_재차인원!$K$4:$K$20,0),MATCH($CZ$61,고양시_재차인원!$K$4:$O$4,0))</f>
        <v>0.18473716268222537</v>
      </c>
      <c r="DA63" s="267">
        <f>INDEX($M$60:$Z$74,MATCH($CW63,$L$60:$L$74,0),MATCH(DA$61,$M$61:$Z$61,0))/INDEX(고양시_재차인원!$D$4:$H$35,MATCH("고양시",고양시_재차인원!$B$4:$B$35,0),MATCH($CX$60,고양시_재차인원!$D$4:$H$4,0))</f>
        <v>5.1586974560432388</v>
      </c>
      <c r="DB63" s="267">
        <f>INDEX($AA$60:$AN$74,MATCH($CW63,$L$60:$L$74,0),MATCH(DB$61,$AA$61:$AN$61,0))/INDEX(고양시_재차인원!$D$4:$H$35,MATCH("고양시",고양시_재차인원!$B$4:$B$35,0),MATCH($DB$60,고양시_재차인원!$D$4:$H$4,0))</f>
        <v>496.21593190605239</v>
      </c>
      <c r="DC63" s="267">
        <f>INDEX($AA$60:$AN$74,MATCH($CW63,$L$60:$L$74,0),MATCH(DC$61,$AA$61:$AN$61,0))/INDEX(고양시_재차인원!$K$4:$O$20,MATCH("경기도",고양시_재차인원!$K$4:$K$20,0),MATCH($DC$61,고양시_재차인원!$K$4:$O$4,0))</f>
        <v>5.1674129945178757E-3</v>
      </c>
      <c r="DD63" s="267">
        <f>INDEX($AA$60:$AN$74,MATCH($CW63,$L$60:$L$74,0),MATCH(DD$61,$AA$61:$AN$61,0))/INDEX(고양시_재차인원!$K$4:$O$20,MATCH("경기도",고양시_재차인원!$K$4:$K$20,0),MATCH($DD$61,고양시_재차인원!$K$4:$O$4,0))</f>
        <v>1.4365408124759693</v>
      </c>
      <c r="DE63" s="267">
        <f>INDEX($AA$60:$AN$74,MATCH($CW63,$L$60:$L$74,0),MATCH(DE$61,$AA$61:$AN$61,0))/INDEX(고양시_재차인원!$D$4:$H$35,MATCH("고양시",고양시_재차인원!$B$4:$B$35,0),MATCH($DB$60,고양시_재차인원!$D$4:$H$4,0))</f>
        <v>31.864174236790944</v>
      </c>
      <c r="DF63" s="267">
        <f>INDEX($AO$60:$BB$74,MATCH($CW63,$L$60:$L$74,0),MATCH(DF$61,$AO$61:$BB$61,0))/INDEX(고양시_재차인원!$D$4:$H$35,MATCH("고양시",고양시_재차인원!$B$4:$B$35,0),MATCH($DF$60,고양시_재차인원!$D$4:$H$4,0))</f>
        <v>23.856057244583763</v>
      </c>
      <c r="DG63" s="267">
        <f>INDEX($AO$60:$BB$74,MATCH($CW63,$L$60:$L$74,0),MATCH(DG$61,$AO$61:$BB$61,0))/INDEX(고양시_재차인원!$K$4:$O$20,MATCH("경기도",고양시_재차인원!$K$4:$K$20,0),MATCH($DG$61,고양시_재차인원!$K$4:$O$4,0))</f>
        <v>2.2904740559693071E-4</v>
      </c>
      <c r="DH63" s="267">
        <f>INDEX($AO$60:$BB$74,MATCH($CW63,$L$60:$L$74,0),MATCH(DH$61,$AO$61:$BB$61,0))/INDEX(고양시_재차인원!$K$4:$O$20,MATCH("경기도",고양시_재차인원!$K$4:$K$20,0),MATCH($DH$61,고양시_재차인원!$K$4:$O$4,0))</f>
        <v>6.3675178755946735E-2</v>
      </c>
      <c r="DI63" s="267">
        <f>INDEX($AO$60:$BB$74,MATCH($CW63,$L$60:$L$74,0),MATCH(DI$61,$AO$61:$BB$61,0))/INDEX(고양시_재차인원!$D$4:$H$35,MATCH("고양시",고양시_재차인원!$B$4:$B$35,0),MATCH($DF$60,고양시_재차인원!$D$4:$H$4,0))</f>
        <v>1.531900762888432</v>
      </c>
      <c r="DJ63" s="267">
        <f>INDEX($BC$60:$BP$74,MATCH($CW63,$L$60:$L$74,0),MATCH(DJ$61,$BC$61:$BP$61,0))/INDEX(고양시_재차인원!$D$4:$H$35,MATCH("고양시",고양시_재차인원!$B$4:$B$35,0),MATCH($DJ$60,고양시_재차인원!$D$4:$H$4,0))</f>
        <v>6.1840228151463533E-2</v>
      </c>
      <c r="DK63" s="267">
        <f>INDEX($BC$60:$BP$74,MATCH($CW63,$L$60:$L$74,0),MATCH(DK$61,$BC$61:$BP$61,0))/INDEX(고양시_재차인원!$K$4:$O$20,MATCH("경기도",고양시_재차인원!$K$4:$K$20,0),MATCH($DK$61,고양시_재차인원!$K$4:$O$4,0))</f>
        <v>6.2114550670354226E-7</v>
      </c>
      <c r="DL63" s="267">
        <f>INDEX($BC$60:$BP$74,MATCH($CW63,$L$60:$L$74,0),MATCH(DL$61,$BC$61:$BP$61,0))/INDEX(고양시_재차인원!$K$4:$O$20,MATCH("경기도",고양시_재차인원!$K$4:$K$20,0),MATCH($DL$61,고양시_재차인원!$K$4:$O$4,0))</f>
        <v>1.7267845086358478E-4</v>
      </c>
      <c r="DM63" s="267">
        <f>INDEX($BC$60:$BP$74,MATCH($CW63,$L$60:$L$74,0),MATCH(DM$61,$BC$61:$BP$61,0))/INDEX(고양시_재차인원!$D$4:$H$35,MATCH("고양시",고양시_재차인원!$B$4:$B$35,0),MATCH($DJ$60,고양시_재차인원!$D$4:$H$4,0))</f>
        <v>3.9710288968194743E-3</v>
      </c>
      <c r="DN63" s="267">
        <f>INDEX($BQ$60:$CD$74,MATCH($CW63,$L$60:$L$74,0),MATCH(DN$61,$BQ$61:$CD$61,0))/INDEX(고양시_재차인원!$D$4:$H$35,MATCH("고양시",고양시_재차인원!$B$4:$B$35,0),MATCH($DN$60,고양시_재차인원!$D$4:$H$4,0))</f>
        <v>0.18911985117219998</v>
      </c>
      <c r="DO63" s="267">
        <f>INDEX($BQ$60:$CD$74,MATCH($CW63,$L$60:$L$74,0),MATCH(DO$61,$BQ$61:$CD$61,0))/INDEX(고양시_재차인원!$K$4:$O$20,MATCH("경기도",고양시_재차인원!$K$4:$K$20,0),MATCH($DO$61,고양시_재차인원!$K$4:$O$4,0))</f>
        <v>1.7599122689933639E-6</v>
      </c>
      <c r="DP63" s="267">
        <f>INDEX($BQ$60:$CD$74,MATCH($CW63,$L$60:$L$74,0),MATCH(DP$61,$BQ$61:$CD$61,0))/INDEX(고양시_재차인원!$K$4:$O$20,MATCH("경기도",고양시_재차인원!$K$4:$K$20,0),MATCH($DP$61,고양시_재차인원!$K$4:$O$4,0))</f>
        <v>4.8925561078015515E-4</v>
      </c>
      <c r="DQ63" s="267">
        <f>INDEX($BQ$60:$CD$74,MATCH($CW63,$L$60:$L$74,0),MATCH(DQ$61,$BQ$61:$CD$61,0))/INDEX(고양시_재차인원!$D$4:$H$35,MATCH("고양시",고양시_재차인원!$B$4:$B$35,0),MATCH($DN$60,고양시_재차인원!$D$4:$H$4,0))</f>
        <v>1.2144204774400254E-2</v>
      </c>
      <c r="DR63" s="270">
        <f t="shared" ref="DR63:DR74" si="33">CX63+DB63+DF63+DJ63+DN63</f>
        <v>600.6585589510571</v>
      </c>
      <c r="DS63" s="270">
        <f t="shared" si="26"/>
        <v>6.0633636258121768E-3</v>
      </c>
      <c r="DT63" s="270">
        <f t="shared" si="27"/>
        <v>1.685615087975785</v>
      </c>
      <c r="DU63" s="270">
        <f t="shared" si="28"/>
        <v>38.570887689393842</v>
      </c>
      <c r="DW63" s="278" t="s">
        <v>605</v>
      </c>
      <c r="DX63" s="278" t="s">
        <v>607</v>
      </c>
      <c r="DY63" s="281">
        <f t="shared" ref="DY63:DY66" si="34">DR63+DU63</f>
        <v>639.22944664045099</v>
      </c>
      <c r="DZ63" s="281">
        <f t="shared" ref="DZ63:DZ66" si="35">DS63+DT63</f>
        <v>1.6916784516015972</v>
      </c>
      <c r="EB63" s="278" t="s">
        <v>622</v>
      </c>
      <c r="EC63" s="278" t="s">
        <v>607</v>
      </c>
      <c r="ED63" s="309">
        <f t="shared" ref="ED63:ED65" si="36">DY63+DY$68*($EN65/SUM($EN$64:$EN$67))</f>
        <v>750.64099434773345</v>
      </c>
      <c r="EE63" s="309">
        <f t="shared" si="29"/>
        <v>1.9865217437974334</v>
      </c>
      <c r="EK63" s="420" t="s">
        <v>12</v>
      </c>
      <c r="EL63" s="420" t="s">
        <v>12</v>
      </c>
      <c r="EM63" s="420" t="s">
        <v>610</v>
      </c>
      <c r="EN63" s="420">
        <v>15857.7047</v>
      </c>
      <c r="EO63" s="420">
        <v>0.5264012731380332</v>
      </c>
      <c r="EP63" s="421">
        <v>849002</v>
      </c>
      <c r="EQ63" s="422">
        <f t="shared" ref="EQ63:EQ81" si="37">VLOOKUP($EL63,$EC$62:$EE$73,2,FALSE)*$EO63 * $CW$9*(1-$DA$5)</f>
        <v>33.869411489791716</v>
      </c>
      <c r="ER63" s="422">
        <f t="shared" ref="ER63:ER81" si="38">VLOOKUP($EL63,$EC$62:$EE$73,3,FALSE)*$EO63*$CW$9*(1-$DA$5)</f>
        <v>8.9633157369134325E-2</v>
      </c>
      <c r="ES63">
        <v>0</v>
      </c>
      <c r="EU63" s="306" t="s">
        <v>12</v>
      </c>
      <c r="EV63" s="306" t="s">
        <v>12</v>
      </c>
      <c r="EW63" s="306" t="s">
        <v>610</v>
      </c>
      <c r="EX63" s="306">
        <v>15857.7047</v>
      </c>
      <c r="EY63" s="306">
        <v>0.5264012731380332</v>
      </c>
      <c r="EZ63" s="307">
        <v>849002</v>
      </c>
      <c r="FA63" s="308">
        <f t="shared" ref="FA63:FA81" si="39">EQ63*$EG$55</f>
        <v>33.869411489791716</v>
      </c>
      <c r="FB63" s="308">
        <f t="shared" si="30"/>
        <v>8.9633157369134325E-2</v>
      </c>
      <c r="FD63" s="101"/>
      <c r="FE63" s="101"/>
      <c r="FF63" s="101"/>
      <c r="FG63" s="101"/>
      <c r="FH63" s="101"/>
      <c r="FI63" s="374"/>
      <c r="FJ63" s="404"/>
      <c r="FK63" s="404"/>
    </row>
    <row r="64" spans="1:167">
      <c r="A64" s="205" t="s">
        <v>605</v>
      </c>
      <c r="B64" s="205" t="s">
        <v>608</v>
      </c>
      <c r="C64" s="201">
        <f>$L31*KTDB_TripDistribution_2045!L$12</f>
        <v>156.77641689371512</v>
      </c>
      <c r="D64" s="201">
        <f>$L31*KTDB_TripDistribution_2045!M$12</f>
        <v>1219.1143245442847</v>
      </c>
      <c r="E64" s="201">
        <f>$L31*KTDB_TripDistribution_2045!N$12</f>
        <v>54.037672905023122</v>
      </c>
      <c r="F64" s="201">
        <f>$L31*KTDB_TripDistribution_2045!O$12</f>
        <v>0.14654284177633423</v>
      </c>
      <c r="G64" s="201">
        <f>$L31*KTDB_TripDistribution_2045!P$12</f>
        <v>0.41520471836627887</v>
      </c>
      <c r="H64" s="201">
        <f>$K31*KTDB_TripDistribution_2045!Q$12</f>
        <v>1430.4901619031657</v>
      </c>
      <c r="J64" s="230">
        <f t="shared" si="12"/>
        <v>1430.4901619031657</v>
      </c>
      <c r="K64" s="206" t="s">
        <v>605</v>
      </c>
      <c r="L64" s="206" t="s">
        <v>608</v>
      </c>
      <c r="M64" s="206">
        <f>INDEX($A$61:$H$74,MATCH($L64,$B$61:$B$74,0),MATCH($M$60,$A$61:$H$61,0))*고양시_Modal_split!C$3 * 0.01</f>
        <v>0.43897396730240235</v>
      </c>
      <c r="N64" s="206">
        <f>INDEX($A$61:$H$74,MATCH($L64,$B$61:$B$74,0),MATCH($M$60,$A$61:$H$61,0))*고양시_Modal_split!D$3 * 0.01</f>
        <v>73.731948865114234</v>
      </c>
      <c r="O64" s="206">
        <f>INDEX($A$61:$H$74,MATCH($L64,$B$61:$B$74,0),MATCH($M$60,$A$61:$H$61,0))*고양시_Modal_split!E$3 * 0.01</f>
        <v>8.9205781212523902</v>
      </c>
      <c r="P64" s="206">
        <f>INDEX($A$61:$H$74,MATCH($L64,$B$61:$B$74,0),MATCH($M$60,$A$61:$H$61,0))*고양시_Modal_split!F$3 * 0.01</f>
        <v>14.376397429153677</v>
      </c>
      <c r="Q64" s="206">
        <f>INDEX($A$61:$H$74,MATCH($L64,$B$61:$B$74,0),MATCH($M$60,$A$61:$H$61,0))*고양시_Modal_split!G$3 * 0.01</f>
        <v>1.4423430354221791</v>
      </c>
      <c r="R64" s="206">
        <f>INDEX($A$61:$H$74,MATCH($L64,$B$61:$B$74,0),MATCH($M$60,$A$61:$H$61,0))*고양시_Modal_split!H$3 * 0.01</f>
        <v>1.5677641689371514E-2</v>
      </c>
      <c r="S64" s="206">
        <f>INDEX($A$61:$H$74,MATCH($L64,$B$61:$B$74,0),MATCH($M$60,$A$61:$H$61,0))*고양시_Modal_split!I$3 * 0.01</f>
        <v>4.3583843896452796</v>
      </c>
      <c r="T64" s="206">
        <f>INDEX($A$61:$H$74,MATCH($L64,$B$61:$B$74,0),MATCH($M$60,$A$61:$H$61,0))*고양시_Modal_split!J$3 * 0.01</f>
        <v>47.722741302446885</v>
      </c>
      <c r="U64" s="206">
        <f>INDEX($A$61:$H$74,MATCH($L64,$B$61:$B$74,0),MATCH($M$60,$A$61:$H$61,0))*고양시_Modal_split!K$3 * 0.01</f>
        <v>0.2351646253405727</v>
      </c>
      <c r="V64" s="206">
        <f>INDEX($A$61:$H$74,MATCH($L64,$B$61:$B$74,0),MATCH($M$60,$A$61:$H$61,0))*고양시_Modal_split!L$3 * 0.01</f>
        <v>4.7346477901901967</v>
      </c>
      <c r="W64" s="206">
        <f>INDEX($A$61:$H$74,MATCH($L64,$B$61:$B$74,0),MATCH($M$60,$A$61:$H$61,0))*고양시_Modal_split!M$3 * 0.01</f>
        <v>0.36058575885554478</v>
      </c>
      <c r="X64" s="206">
        <f>INDEX($A$61:$H$74,MATCH($L64,$B$61:$B$74,0),MATCH($M$60,$A$61:$H$61,0))*고양시_Modal_split!N$3 * 0.01</f>
        <v>0.15677641689371513</v>
      </c>
      <c r="Y64" s="206">
        <f>INDEX($A$61:$H$74,MATCH($L64,$B$61:$B$74,0),MATCH($M$60,$A$61:$H$61,0))*고양시_Modal_split!O$3 * 0.01</f>
        <v>0.28219755040868721</v>
      </c>
      <c r="Z64" s="209">
        <f>INDEX($A$61:$H$74,MATCH($L64,$B$61:$B$74,0),MATCH($M$60,$A$61:$H$61,0))*고양시_Modal_split!P$3 * 0.01</f>
        <v>156.77641689371512</v>
      </c>
      <c r="AA64" s="207">
        <f>INDEX($A$61:$H$74,MATCH($L64,$B$61:$B$74,0),MATCH($AA$60,$A$61:$H$61,0))*고양시_Modal_split!C$3 * 0.01</f>
        <v>3.413520108723997</v>
      </c>
      <c r="AB64" s="207">
        <f>INDEX($A$61:$H$74,MATCH($L64,$B$61:$B$74,0),MATCH($AA$60,$A$61:$H$61,0))*고양시_Modal_split!D$3 * 0.01</f>
        <v>573.34946683317719</v>
      </c>
      <c r="AC64" s="207">
        <f>INDEX($A$61:$H$74,MATCH($L64,$B$61:$B$74,0),MATCH($AA$60,$A$61:$H$61,0))*고양시_Modal_split!E$3 * 0.01</f>
        <v>69.367605066569794</v>
      </c>
      <c r="AD64" s="207">
        <f>INDEX($A$61:$H$74,MATCH($L64,$B$61:$B$74,0),MATCH($AA$60,$A$61:$H$61,0))*고양시_Modal_split!F$3 * 0.01</f>
        <v>111.7927835607109</v>
      </c>
      <c r="AE64" s="207">
        <f>INDEX($A$61:$H$74,MATCH($L64,$B$61:$B$74,0),MATCH($AA$60,$A$61:$H$61,0))*고양시_Modal_split!G$3 * 0.01</f>
        <v>11.21585178580742</v>
      </c>
      <c r="AF64" s="207">
        <f>INDEX($A$61:$H$74,MATCH($L64,$B$61:$B$74,0),MATCH($AA$60,$A$61:$H$61,0))*고양시_Modal_split!H$3 * 0.01</f>
        <v>0.12191143245442847</v>
      </c>
      <c r="AG64" s="207">
        <f>INDEX($A$61:$H$74,MATCH($L64,$B$61:$B$74,0),MATCH($AA$60,$A$61:$H$61,0))*고양시_Modal_split!I$3 * 0.01</f>
        <v>33.891378222331113</v>
      </c>
      <c r="AH64" s="207">
        <f>INDEX($A$61:$H$74,MATCH($L64,$B$61:$B$74,0),MATCH($AA$60,$A$61:$H$61,0))*고양시_Modal_split!J$3 * 0.01</f>
        <v>371.09840039128034</v>
      </c>
      <c r="AI64" s="207">
        <f>INDEX($A$61:$H$74,MATCH($L64,$B$61:$B$74,0),MATCH($AA$60,$A$61:$H$61,0))*고양시_Modal_split!K$3 * 0.01</f>
        <v>1.8286714868164271</v>
      </c>
      <c r="AJ64" s="207">
        <f>INDEX($A$61:$H$74,MATCH($L64,$B$61:$B$74,0),MATCH($AA$60,$A$61:$H$61,0))*고양시_Modal_split!L$3 * 0.01</f>
        <v>36.817252601237399</v>
      </c>
      <c r="AK64" s="207">
        <f>INDEX($A$61:$H$74,MATCH($L64,$B$61:$B$74,0),MATCH($AA$60,$A$61:$H$61,0))*고양시_Modal_split!M$3 * 0.01</f>
        <v>2.803962946451855</v>
      </c>
      <c r="AL64" s="207">
        <f>INDEX($A$61:$H$74,MATCH($L64,$B$61:$B$74,0),MATCH($AA$60,$A$61:$H$61,0))*고양시_Modal_split!N$3 * 0.01</f>
        <v>1.2191143245442848</v>
      </c>
      <c r="AM64" s="207">
        <f>INDEX($A$61:$H$74,MATCH($L64,$B$61:$B$74,0),MATCH($AA$60,$A$61:$H$61,0))*고양시_Modal_split!O$3 * 0.01</f>
        <v>2.1944057841797124</v>
      </c>
      <c r="AN64" s="207">
        <f>INDEX($A$61:$H$74,MATCH($L64,$B$61:$B$74,0),MATCH($AA$60,$A$61:$H$61,0))*고양시_Modal_split!P$3 * 0.01</f>
        <v>1219.1143245442847</v>
      </c>
      <c r="AO64" s="303">
        <f>INDEX($A$61:$H$74,MATCH($L64,$B$61:$B$74,0),MATCH($AO$60,$A$61:$H$61,0))*고양시_Modal_split!C$3 * 0.01</f>
        <v>0.15130548413406472</v>
      </c>
      <c r="AP64" s="303">
        <f>INDEX($A$61:$H$74,MATCH($L64,$B$61:$B$74,0),MATCH($AO$60,$A$61:$H$61,0))*고양시_Modal_split!D$3 * 0.01</f>
        <v>25.413917567232374</v>
      </c>
      <c r="AQ64" s="303">
        <f>INDEX($A$61:$H$74,MATCH($L64,$B$61:$B$74,0),MATCH($AO$60,$A$61:$H$61,0))*고양시_Modal_split!E$3 * 0.01</f>
        <v>3.0747435882958154</v>
      </c>
      <c r="AR64" s="303">
        <f>INDEX($A$61:$H$74,MATCH($L64,$B$61:$B$74,0),MATCH($AO$60,$A$61:$H$61,0))*고양시_Modal_split!F$3 * 0.01</f>
        <v>4.9552546053906203</v>
      </c>
      <c r="AS64" s="303">
        <f>INDEX($A$61:$H$74,MATCH($L64,$B$61:$B$74,0),MATCH($AO$60,$A$61:$H$61,0))*고양시_Modal_split!G$3 * 0.01</f>
        <v>0.4971465907262127</v>
      </c>
      <c r="AT64" s="303">
        <f>INDEX($A$61:$H$74,MATCH($L64,$B$61:$B$74,0),MATCH($AO$60,$A$61:$H$61,0))*고양시_Modal_split!H$3 * 0.01</f>
        <v>5.4037672905023126E-3</v>
      </c>
      <c r="AU64" s="303">
        <f>INDEX($A$61:$H$74,MATCH($L64,$B$61:$B$74,0),MATCH($AO$60,$A$61:$H$61,0))*고양시_Modal_split!I$3 * 0.01</f>
        <v>1.5022473067596429</v>
      </c>
      <c r="AV64" s="303">
        <f>INDEX($A$61:$H$74,MATCH($L64,$B$61:$B$74,0),MATCH($AO$60,$A$61:$H$61,0))*고양시_Modal_split!J$3 * 0.01</f>
        <v>16.44906763228904</v>
      </c>
      <c r="AW64" s="303">
        <f>INDEX($A$61:$H$74,MATCH($L64,$B$61:$B$74,0),MATCH($AO$60,$A$61:$H$61,0))*고양시_Modal_split!K$3 * 0.01</f>
        <v>8.1056509357534681E-2</v>
      </c>
      <c r="AX64" s="303">
        <f>INDEX($A$61:$H$74,MATCH($L64,$B$61:$B$74,0),MATCH($AO$60,$A$61:$H$61,0))*고양시_Modal_split!L$3 * 0.01</f>
        <v>1.6319377217316984</v>
      </c>
      <c r="AY64" s="303">
        <f>INDEX($A$61:$H$74,MATCH($L64,$B$61:$B$74,0),MATCH($AO$60,$A$61:$H$61,0))*고양시_Modal_split!M$3 * 0.01</f>
        <v>0.12428664768155318</v>
      </c>
      <c r="AZ64" s="303">
        <f>INDEX($A$61:$H$74,MATCH($L64,$B$61:$B$74,0),MATCH($AO$60,$A$61:$H$61,0))*고양시_Modal_split!N$3 * 0.01</f>
        <v>5.4037672905023121E-2</v>
      </c>
      <c r="BA64" s="207">
        <f>INDEX($A$61:$H$74,MATCH($L64,$B$61:$B$74,0),MATCH($AO$60,$A$61:$H$61,0))*고양시_Modal_split!O$3 * 0.01</f>
        <v>9.7267811229041629E-2</v>
      </c>
      <c r="BB64" s="207">
        <f>INDEX($A$61:$H$74,MATCH($L64,$B$61:$B$74,0),MATCH($AO$60,$A$61:$H$61,0))*고양시_Modal_split!P$3 * 0.01</f>
        <v>54.037672905023122</v>
      </c>
      <c r="BC64" s="207">
        <f>INDEX($A$61:$H$74,MATCH($L64,$B$61:$B$74,0),MATCH($BC$60,$A$61:$H$61,0))*고양시_Modal_split!C$3 * 0.01</f>
        <v>4.103199569737358E-4</v>
      </c>
      <c r="BD64" s="207">
        <f>INDEX($A$61:$H$74,MATCH($L64,$B$61:$B$74,0),MATCH($BC$60,$A$61:$H$61,0))*고양시_Modal_split!D$3 * 0.01</f>
        <v>6.8919098487409985E-2</v>
      </c>
      <c r="BE64" s="207">
        <f>INDEX($A$61:$H$74,MATCH($L64,$B$61:$B$74,0),MATCH($BC$60,$A$61:$H$61,0))*고양시_Modal_split!E$3 * 0.01</f>
        <v>8.3382876970734161E-3</v>
      </c>
      <c r="BF64" s="207">
        <f>INDEX($A$61:$H$74,MATCH($L64,$B$61:$B$74,0),MATCH($BC$60,$A$61:$H$61,0))*고양시_Modal_split!F$3 * 0.01</f>
        <v>1.3437978590889847E-2</v>
      </c>
      <c r="BG64" s="207">
        <f>INDEX($A$61:$H$74,MATCH($L64,$B$61:$B$74,0),MATCH($BC$60,$A$61:$H$61,0))*고양시_Modal_split!G$3 * 0.01</f>
        <v>1.3481941443422749E-3</v>
      </c>
      <c r="BH64" s="207">
        <f>INDEX($A$61:$H$74,MATCH($L64,$B$61:$B$74,0),MATCH($BC$60,$A$61:$H$61,0))*고양시_Modal_split!H$3 * 0.01</f>
        <v>1.4654284177633423E-5</v>
      </c>
      <c r="BI64" s="207">
        <f>INDEX($A$61:$H$74,MATCH($L64,$B$61:$B$74,0),MATCH($BC$60,$A$61:$H$61,0))*고양시_Modal_split!I$3 * 0.01</f>
        <v>4.0738910013820911E-3</v>
      </c>
      <c r="BJ64" s="207">
        <f>INDEX($A$61:$H$74,MATCH($L64,$B$61:$B$74,0),MATCH($BC$60,$A$61:$H$61,0))*고양시_Modal_split!J$3 * 0.01</f>
        <v>4.4607641036716141E-2</v>
      </c>
      <c r="BK64" s="207">
        <f>INDEX($A$61:$H$74,MATCH($L64,$B$61:$B$74,0),MATCH($BC$60,$A$61:$H$61,0))*고양시_Modal_split!K$3 * 0.01</f>
        <v>2.1981426266450135E-4</v>
      </c>
      <c r="BL64" s="207">
        <f>INDEX($A$61:$H$74,MATCH($L64,$B$61:$B$74,0),MATCH($BC$60,$A$61:$H$61,0))*고양시_Modal_split!L$3 * 0.01</f>
        <v>4.4255938216452937E-3</v>
      </c>
      <c r="BM64" s="207">
        <f>INDEX($A$61:$H$74,MATCH($L64,$B$61:$B$74,0),MATCH($BC$60,$A$61:$H$61,0))*고양시_Modal_split!M$3 * 0.01</f>
        <v>3.3704853608556873E-4</v>
      </c>
      <c r="BN64" s="207">
        <f>INDEX($A$61:$H$74,MATCH($L64,$B$61:$B$74,0),MATCH($BC$60,$A$61:$H$61,0))*고양시_Modal_split!N$3 * 0.01</f>
        <v>1.4654284177633423E-4</v>
      </c>
      <c r="BO64" s="207">
        <f>INDEX($A$61:$H$74,MATCH($L64,$B$61:$B$74,0),MATCH($BC$60,$A$61:$H$61,0))*고양시_Modal_split!O$3 * 0.01</f>
        <v>2.6377711519740162E-4</v>
      </c>
      <c r="BP64" s="207">
        <f>INDEX($A$61:$H$74,MATCH($L64,$B$61:$B$74,0),MATCH($BC$60,$A$61:$H$61,0))*고양시_Modal_split!P$3 * 0.01</f>
        <v>0.14654284177633423</v>
      </c>
      <c r="BQ64" s="207">
        <f>INDEX($A$61:$H$74,MATCH($L64,$B$61:$B$74,0),MATCH($BQ$60,$A$61:$H$61,0))*고양시_Modal_split!C$3 * 0.01</f>
        <v>1.1625732114255807E-3</v>
      </c>
      <c r="BR64" s="207">
        <f>INDEX($A$61:$H$74,MATCH($L64,$B$61:$B$74,0),MATCH($BQ$60,$A$61:$H$61,0))*고양시_Modal_split!D$3 * 0.01</f>
        <v>0.19527077904766096</v>
      </c>
      <c r="BS64" s="207">
        <f>INDEX($A$61:$H$74,MATCH($L64,$B$61:$B$74,0),MATCH($BQ$60,$A$61:$H$61,0))*고양시_Modal_split!E$3 * 0.01</f>
        <v>2.3625148475041265E-2</v>
      </c>
      <c r="BT64" s="207">
        <f>INDEX($A$61:$H$74,MATCH($L64,$B$61:$B$74,0),MATCH($BQ$60,$A$61:$H$61,0))*고양시_Modal_split!F$3 * 0.01</f>
        <v>3.8074272674187774E-2</v>
      </c>
      <c r="BU64" s="207">
        <f>INDEX($A$61:$H$74,MATCH($L64,$B$61:$B$74,0),MATCH($BQ$60,$A$61:$H$61,0))*고양시_Modal_split!G$3 * 0.01</f>
        <v>3.8198834089697652E-3</v>
      </c>
      <c r="BV64" s="207">
        <f>INDEX($A$61:$H$74,MATCH($L64,$B$61:$B$74,0),MATCH($BQ$60,$A$61:$H$61,0))*고양시_Modal_split!H$3 * 0.01</f>
        <v>4.152047183662789E-5</v>
      </c>
      <c r="BW64" s="207">
        <f>INDEX($A$61:$H$74,MATCH($L64,$B$61:$B$74,0),MATCH($BQ$60,$A$61:$H$61,0))*고양시_Modal_split!I$3 * 0.01</f>
        <v>1.1542691170582551E-2</v>
      </c>
      <c r="BX64" s="207">
        <f>INDEX($A$61:$H$74,MATCH($L64,$B$61:$B$74,0),MATCH($BQ$60,$A$61:$H$61,0))*고양시_Modal_split!J$3 * 0.01</f>
        <v>0.1263883162706953</v>
      </c>
      <c r="BY64" s="207">
        <f>INDEX($A$61:$H$74,MATCH($L64,$B$61:$B$74,0),MATCH($BQ$60,$A$61:$H$61,0))*고양시_Modal_split!K$3 * 0.01</f>
        <v>6.2280707754941835E-4</v>
      </c>
      <c r="BZ64" s="207">
        <f>INDEX($A$61:$H$74,MATCH($L64,$B$61:$B$74,0),MATCH($BQ$60,$A$61:$H$61,0))*고양시_Modal_split!L$3 * 0.01</f>
        <v>1.2539182494661624E-2</v>
      </c>
      <c r="CA64" s="207">
        <f>INDEX($A$61:$H$74,MATCH($L64,$B$61:$B$74,0),MATCH($BQ$60,$A$61:$H$61,0))*고양시_Modal_split!M$3 * 0.01</f>
        <v>9.549708522424413E-4</v>
      </c>
      <c r="CB64" s="207">
        <f>INDEX($A$61:$H$74,MATCH($L64,$B$61:$B$74,0),MATCH($BQ$60,$A$61:$H$61,0))*고양시_Modal_split!N$3 * 0.01</f>
        <v>4.1520471836627892E-4</v>
      </c>
      <c r="CC64" s="207">
        <f>INDEX($A$61:$H$74,MATCH($L64,$B$61:$B$74,0),MATCH($BQ$60,$A$61:$H$61,0))*고양시_Modal_split!O$3 * 0.01</f>
        <v>7.4736849305930193E-4</v>
      </c>
      <c r="CD64" s="207">
        <f>INDEX($A$61:$H$74,MATCH($L64,$B$61:$B$74,0),MATCH($BQ$60,$A$61:$H$61,0))*고양시_Modal_split!P$3 * 0.01</f>
        <v>0.41520471836627887</v>
      </c>
      <c r="CE64" s="304">
        <f t="shared" si="31"/>
        <v>4.0053724533288637</v>
      </c>
      <c r="CF64" s="304">
        <f t="shared" si="13"/>
        <v>672.7595231430588</v>
      </c>
      <c r="CG64" s="304">
        <f t="shared" si="14"/>
        <v>81.394890212290122</v>
      </c>
      <c r="CH64" s="304">
        <f t="shared" si="15"/>
        <v>131.17594784652027</v>
      </c>
      <c r="CI64" s="304">
        <f t="shared" si="16"/>
        <v>13.160509489509124</v>
      </c>
      <c r="CJ64" s="304">
        <f t="shared" si="17"/>
        <v>0.14304901619031654</v>
      </c>
      <c r="CK64" s="304">
        <f t="shared" si="18"/>
        <v>39.767626500908001</v>
      </c>
      <c r="CL64" s="304">
        <f t="shared" si="19"/>
        <v>435.44120528332365</v>
      </c>
      <c r="CM64" s="304">
        <f t="shared" si="20"/>
        <v>2.1457352428547485</v>
      </c>
      <c r="CN64" s="304">
        <f t="shared" si="21"/>
        <v>43.200802889475597</v>
      </c>
      <c r="CO64" s="304">
        <f t="shared" si="22"/>
        <v>3.290127372377281</v>
      </c>
      <c r="CP64" s="304">
        <f t="shared" si="23"/>
        <v>1.4304901619031658</v>
      </c>
      <c r="CQ64" s="304">
        <f t="shared" si="24"/>
        <v>2.5748822914256979</v>
      </c>
      <c r="CR64" s="304">
        <f t="shared" si="25"/>
        <v>1430.4901619031657</v>
      </c>
      <c r="CS64" s="305">
        <f t="shared" si="32"/>
        <v>0</v>
      </c>
      <c r="CV64" s="265" t="s">
        <v>605</v>
      </c>
      <c r="CW64" s="265" t="s">
        <v>608</v>
      </c>
      <c r="CX64" s="267">
        <f>INDEX($M$60:$Z$74,MATCH($CW64,$L$60:$L$74,0),MATCH(CX$61,$M$61:$Z$61,0))/INDEX(고양시_재차인원!$D$4:$H$35,MATCH("고양시",고양시_재차인원!$B$4:$B$35,0),MATCH($CX$60,고양시_재차인원!$D$4:$H$4,0))</f>
        <v>65.832097200994852</v>
      </c>
      <c r="CY64" s="267">
        <f>INDEX($M$60:$Z$74,MATCH($CW64,$L$60:$L$74,0),MATCH(CY$61,$M$61:$Z$61,0))/INDEX(고양시_재차인원!$K$4:$O$20,MATCH("경기도",고양시_재차인원!$K$4:$K$20,0),MATCH($CY$61,고양시_재차인원!$K$4:$O$4,0))</f>
        <v>5.4455163908897239E-4</v>
      </c>
      <c r="CZ64" s="267">
        <f>INDEX($M$60:$Z$74,MATCH($CW64,$L$60:$L$74,0),MATCH(CZ$61,$M$61:$Z$61,0))/INDEX(고양시_재차인원!$K$4:$O$20,MATCH("경기도",고양시_재차인원!$K$4:$K$20,0),MATCH($CZ$61,고양시_재차인원!$K$4:$O$4,0))</f>
        <v>0.15138535566673428</v>
      </c>
      <c r="DA64" s="267">
        <f>INDEX($M$60:$Z$74,MATCH($CW64,$L$60:$L$74,0),MATCH(DA$61,$M$61:$Z$61,0))/INDEX(고양시_재차인원!$D$4:$H$35,MATCH("고양시",고양시_재차인원!$B$4:$B$35,0),MATCH($CX$60,고양시_재차인원!$D$4:$H$4,0))</f>
        <v>4.2273640983841041</v>
      </c>
      <c r="DB64" s="267">
        <f>INDEX($AA$60:$AN$74,MATCH($CW64,$L$60:$L$74,0),MATCH(DB$61,$AA$61:$AN$61,0))/INDEX(고양시_재차인원!$D$4:$H$35,MATCH("고양시",고양시_재차인원!$B$4:$B$35,0),MATCH($DB$60,고양시_재차인원!$D$4:$H$4,0))</f>
        <v>406.63082754126043</v>
      </c>
      <c r="DC64" s="267">
        <f>INDEX($AA$60:$AN$74,MATCH($CW64,$L$60:$L$74,0),MATCH(DC$61,$AA$61:$AN$61,0))/INDEX(고양시_재차인원!$K$4:$O$20,MATCH("경기도",고양시_재차인원!$K$4:$K$20,0),MATCH($DC$61,고양시_재차인원!$K$4:$O$4,0))</f>
        <v>4.2345061637522911E-3</v>
      </c>
      <c r="DD64" s="267">
        <f>INDEX($AA$60:$AN$74,MATCH($CW64,$L$60:$L$74,0),MATCH(DD$61,$AA$61:$AN$61,0))/INDEX(고양시_재차인원!$K$4:$O$20,MATCH("경기도",고양시_재차인원!$K$4:$K$20,0),MATCH($DD$61,고양시_재차인원!$K$4:$O$4,0))</f>
        <v>1.177192713523137</v>
      </c>
      <c r="DE64" s="267">
        <f>INDEX($AA$60:$AN$74,MATCH($CW64,$L$60:$L$74,0),MATCH(DE$61,$AA$61:$AN$61,0))/INDEX(고양시_재차인원!$D$4:$H$35,MATCH("고양시",고양시_재차인원!$B$4:$B$35,0),MATCH($DB$60,고양시_재차인원!$D$4:$H$4,0))</f>
        <v>26.111526667544258</v>
      </c>
      <c r="DF64" s="267">
        <f>INDEX($AO$60:$BB$74,MATCH($CW64,$L$60:$L$74,0),MATCH(DF$61,$AO$61:$BB$61,0))/INDEX(고양시_재차인원!$D$4:$H$35,MATCH("고양시",고양시_재차인원!$B$4:$B$35,0),MATCH($DF$60,고양시_재차인원!$D$4:$H$4,0))</f>
        <v>19.54916735940952</v>
      </c>
      <c r="DG64" s="267">
        <f>INDEX($AO$60:$BB$74,MATCH($CW64,$L$60:$L$74,0),MATCH(DG$61,$AO$61:$BB$61,0))/INDEX(고양시_재차인원!$K$4:$O$20,MATCH("경기도",고양시_재차인원!$K$4:$K$20,0),MATCH($DG$61,고양시_재차인원!$K$4:$O$4,0))</f>
        <v>1.8769598091359195E-4</v>
      </c>
      <c r="DH64" s="267">
        <f>INDEX($AO$60:$BB$74,MATCH($CW64,$L$60:$L$74,0),MATCH(DH$61,$AO$61:$BB$61,0))/INDEX(고양시_재차인원!$K$4:$O$20,MATCH("경기도",고양시_재차인원!$K$4:$K$20,0),MATCH($DH$61,고양시_재차인원!$K$4:$O$4,0))</f>
        <v>5.2179482693978568E-2</v>
      </c>
      <c r="DI64" s="267">
        <f>INDEX($AO$60:$BB$74,MATCH($CW64,$L$60:$L$74,0),MATCH(DI$61,$AO$61:$BB$61,0))/INDEX(고양시_재차인원!$D$4:$H$35,MATCH("고양시",고양시_재차인원!$B$4:$B$35,0),MATCH($DF$60,고양시_재차인원!$D$4:$H$4,0))</f>
        <v>1.2553367090243832</v>
      </c>
      <c r="DJ64" s="267">
        <f>INDEX($BC$60:$BP$74,MATCH($CW64,$L$60:$L$74,0),MATCH(DJ$61,$BC$61:$BP$61,0))/INDEX(고양시_재차인원!$D$4:$H$35,MATCH("고양시",고양시_재차인원!$B$4:$B$35,0),MATCH($DJ$60,고양시_재차인원!$D$4:$H$4,0))</f>
        <v>5.0675807711330866E-2</v>
      </c>
      <c r="DK64" s="267">
        <f>INDEX($BC$60:$BP$74,MATCH($CW64,$L$60:$L$74,0),MATCH(DK$61,$BC$61:$BP$61,0))/INDEX(고양시_재차인원!$K$4:$O$20,MATCH("경기도",고양시_재차인원!$K$4:$K$20,0),MATCH($DK$61,고양시_재차인원!$K$4:$O$4,0))</f>
        <v>5.0900604993516582E-7</v>
      </c>
      <c r="DL64" s="267">
        <f>INDEX($BC$60:$BP$74,MATCH($CW64,$L$60:$L$74,0),MATCH(DL$61,$BC$61:$BP$61,0))/INDEX(고양시_재차인원!$K$4:$O$20,MATCH("경기도",고양시_재차인원!$K$4:$K$20,0),MATCH($DL$61,고양시_재차인원!$K$4:$O$4,0))</f>
        <v>1.4150368188197609E-4</v>
      </c>
      <c r="DM64" s="267">
        <f>INDEX($BC$60:$BP$74,MATCH($CW64,$L$60:$L$74,0),MATCH(DM$61,$BC$61:$BP$61,0))/INDEX(고양시_재차인원!$D$4:$H$35,MATCH("고양시",고양시_재차인원!$B$4:$B$35,0),MATCH($DJ$60,고양시_재차인원!$D$4:$H$4,0))</f>
        <v>3.2541131041509512E-3</v>
      </c>
      <c r="DN64" s="267">
        <f>INDEX($BQ$60:$CD$74,MATCH($CW64,$L$60:$L$74,0),MATCH(DN$61,$BQ$61:$CD$61,0))/INDEX(고양시_재차인원!$D$4:$H$35,MATCH("고양시",고양시_재차인원!$B$4:$B$35,0),MATCH($DN$60,고양시_재차인원!$D$4:$H$4,0))</f>
        <v>0.15497680876798489</v>
      </c>
      <c r="DO64" s="267">
        <f>INDEX($BQ$60:$CD$74,MATCH($CW64,$L$60:$L$74,0),MATCH(DO$61,$BQ$61:$CD$61,0))/INDEX(고양시_재차인원!$K$4:$O$20,MATCH("경기도",고양시_재차인원!$K$4:$K$20,0),MATCH($DO$61,고양시_재차인원!$K$4:$O$4,0))</f>
        <v>1.4421838081496316E-6</v>
      </c>
      <c r="DP64" s="267">
        <f>INDEX($BQ$60:$CD$74,MATCH($CW64,$L$60:$L$74,0),MATCH(DP$61,$BQ$61:$CD$61,0))/INDEX(고양시_재차인원!$K$4:$O$20,MATCH("경기도",고양시_재차인원!$K$4:$K$20,0),MATCH($DP$61,고양시_재차인원!$K$4:$O$4,0))</f>
        <v>4.0092709866559748E-4</v>
      </c>
      <c r="DQ64" s="267">
        <f>INDEX($BQ$60:$CD$74,MATCH($CW64,$L$60:$L$74,0),MATCH(DQ$61,$BQ$61:$CD$61,0))/INDEX(고양시_재차인원!$D$4:$H$35,MATCH("고양시",고양시_재차인원!$B$4:$B$35,0),MATCH($DN$60,고양시_재차인원!$D$4:$H$4,0))</f>
        <v>9.9517321386203353E-3</v>
      </c>
      <c r="DR64" s="270">
        <f t="shared" si="33"/>
        <v>492.2177447181441</v>
      </c>
      <c r="DS64" s="270">
        <f t="shared" si="26"/>
        <v>4.9687049736129403E-3</v>
      </c>
      <c r="DT64" s="270">
        <f t="shared" si="27"/>
        <v>1.3812999826643975</v>
      </c>
      <c r="DU64" s="270">
        <f t="shared" si="28"/>
        <v>31.607433320195518</v>
      </c>
      <c r="DW64" s="278" t="s">
        <v>605</v>
      </c>
      <c r="DX64" s="278" t="s">
        <v>608</v>
      </c>
      <c r="DY64" s="281">
        <f t="shared" si="34"/>
        <v>523.82517803833957</v>
      </c>
      <c r="DZ64" s="281">
        <f t="shared" si="35"/>
        <v>1.3862686876380104</v>
      </c>
      <c r="EB64" s="278" t="s">
        <v>622</v>
      </c>
      <c r="EC64" s="278" t="s">
        <v>608</v>
      </c>
      <c r="ED64" s="309">
        <f t="shared" si="36"/>
        <v>615.23810651767383</v>
      </c>
      <c r="EE64" s="309">
        <f t="shared" si="29"/>
        <v>1.6281869567650413</v>
      </c>
      <c r="EK64" s="420" t="s">
        <v>622</v>
      </c>
      <c r="EL64" s="420" t="s">
        <v>618</v>
      </c>
      <c r="EM64" s="420" t="s">
        <v>568</v>
      </c>
      <c r="EN64" s="420">
        <v>38657.855799999998</v>
      </c>
      <c r="EO64" s="420">
        <v>1</v>
      </c>
      <c r="EP64" s="421">
        <v>849003</v>
      </c>
      <c r="EQ64" s="422">
        <f t="shared" si="37"/>
        <v>733.66158019761531</v>
      </c>
      <c r="ER64" s="422">
        <f t="shared" si="38"/>
        <v>1.9415868472754807</v>
      </c>
      <c r="ES64">
        <v>0</v>
      </c>
      <c r="EU64" s="306" t="s">
        <v>622</v>
      </c>
      <c r="EV64" s="306" t="s">
        <v>198</v>
      </c>
      <c r="EW64" s="306" t="s">
        <v>568</v>
      </c>
      <c r="EX64" s="306">
        <v>38657.855799999998</v>
      </c>
      <c r="EY64" s="306">
        <v>1</v>
      </c>
      <c r="EZ64" s="307">
        <v>849003</v>
      </c>
      <c r="FA64" s="308">
        <f t="shared" si="39"/>
        <v>733.66158019761531</v>
      </c>
      <c r="FB64" s="308">
        <f t="shared" si="30"/>
        <v>1.9415868472754807</v>
      </c>
      <c r="FD64" s="101"/>
      <c r="FE64" s="101"/>
      <c r="FF64" s="101"/>
      <c r="FG64" s="101"/>
      <c r="FH64" s="101"/>
      <c r="FI64" s="374"/>
      <c r="FJ64" s="404"/>
      <c r="FK64" s="404"/>
    </row>
    <row r="65" spans="1:167">
      <c r="A65" s="205" t="s">
        <v>605</v>
      </c>
      <c r="B65" s="205" t="s">
        <v>609</v>
      </c>
      <c r="C65" s="201">
        <f>$L32*KTDB_TripDistribution_2045!L$12</f>
        <v>159.86454411697613</v>
      </c>
      <c r="D65" s="201">
        <f>$L32*KTDB_TripDistribution_2045!M$12</f>
        <v>1243.1280136468042</v>
      </c>
      <c r="E65" s="201">
        <f>$L32*KTDB_TripDistribution_2045!N$12</f>
        <v>55.102088153732417</v>
      </c>
      <c r="F65" s="201">
        <f>$L32*KTDB_TripDistribution_2045!O$12</f>
        <v>0.14942939160334248</v>
      </c>
      <c r="G65" s="201">
        <f>$L32*KTDB_TripDistribution_2045!P$12</f>
        <v>0.42338327620946892</v>
      </c>
      <c r="H65" s="201">
        <f>$L32*KTDB_TripDistribution_2045!Q$12</f>
        <v>1458.6674585853257</v>
      </c>
      <c r="J65" s="230">
        <f t="shared" si="12"/>
        <v>1458.6674585853254</v>
      </c>
      <c r="K65" s="206" t="s">
        <v>605</v>
      </c>
      <c r="L65" s="206" t="s">
        <v>609</v>
      </c>
      <c r="M65" s="206">
        <f>INDEX($A$61:$H$74,MATCH($L65,$B$61:$B$74,0),MATCH($M$60,$A$61:$H$61,0))*고양시_Modal_split!C$3 * 0.01</f>
        <v>0.44762072352753313</v>
      </c>
      <c r="N65" s="206">
        <f>INDEX($A$61:$H$74,MATCH($L65,$B$61:$B$74,0),MATCH($M$60,$A$61:$H$61,0))*고양시_Modal_split!D$3 * 0.01</f>
        <v>75.18429509821388</v>
      </c>
      <c r="O65" s="206">
        <f>INDEX($A$61:$H$74,MATCH($L65,$B$61:$B$74,0),MATCH($M$60,$A$61:$H$61,0))*고양시_Modal_split!E$3 * 0.01</f>
        <v>9.0962925602559412</v>
      </c>
      <c r="P65" s="206">
        <f>INDEX($A$61:$H$74,MATCH($L65,$B$61:$B$74,0),MATCH($M$60,$A$61:$H$61,0))*고양시_Modal_split!F$3 * 0.01</f>
        <v>14.659578695526712</v>
      </c>
      <c r="Q65" s="206">
        <f>INDEX($A$61:$H$74,MATCH($L65,$B$61:$B$74,0),MATCH($M$60,$A$61:$H$61,0))*고양시_Modal_split!G$3 * 0.01</f>
        <v>1.4707538058761804</v>
      </c>
      <c r="R65" s="206">
        <f>INDEX($A$61:$H$74,MATCH($L65,$B$61:$B$74,0),MATCH($M$60,$A$61:$H$61,0))*고양시_Modal_split!H$3 * 0.01</f>
        <v>1.5986454411697614E-2</v>
      </c>
      <c r="S65" s="206">
        <f>INDEX($A$61:$H$74,MATCH($L65,$B$61:$B$74,0),MATCH($M$60,$A$61:$H$61,0))*고양시_Modal_split!I$3 * 0.01</f>
        <v>4.4442343264519364</v>
      </c>
      <c r="T65" s="206">
        <f>INDEX($A$61:$H$74,MATCH($L65,$B$61:$B$74,0),MATCH($M$60,$A$61:$H$61,0))*고양시_Modal_split!J$3 * 0.01</f>
        <v>48.662767229207539</v>
      </c>
      <c r="U65" s="206">
        <f>INDEX($A$61:$H$74,MATCH($L65,$B$61:$B$74,0),MATCH($M$60,$A$61:$H$61,0))*고양시_Modal_split!K$3 * 0.01</f>
        <v>0.23979681617546419</v>
      </c>
      <c r="V65" s="206">
        <f>INDEX($A$61:$H$74,MATCH($L65,$B$61:$B$74,0),MATCH($M$60,$A$61:$H$61,0))*고양시_Modal_split!L$3 * 0.01</f>
        <v>4.8279092323326793</v>
      </c>
      <c r="W65" s="206">
        <f>INDEX($A$61:$H$74,MATCH($L65,$B$61:$B$74,0),MATCH($M$60,$A$61:$H$61,0))*고양시_Modal_split!M$3 * 0.01</f>
        <v>0.36768845146904511</v>
      </c>
      <c r="X65" s="206">
        <f>INDEX($A$61:$H$74,MATCH($L65,$B$61:$B$74,0),MATCH($M$60,$A$61:$H$61,0))*고양시_Modal_split!N$3 * 0.01</f>
        <v>0.15986454411697615</v>
      </c>
      <c r="Y65" s="206">
        <f>INDEX($A$61:$H$74,MATCH($L65,$B$61:$B$74,0),MATCH($M$60,$A$61:$H$61,0))*고양시_Modal_split!O$3 * 0.01</f>
        <v>0.28775617941055703</v>
      </c>
      <c r="Z65" s="209">
        <f>INDEX($A$61:$H$74,MATCH($L65,$B$61:$B$74,0),MATCH($M$60,$A$61:$H$61,0))*고양시_Modal_split!P$3 * 0.01</f>
        <v>159.86454411697613</v>
      </c>
      <c r="AA65" s="207">
        <f>INDEX($A$61:$H$74,MATCH($L65,$B$61:$B$74,0),MATCH($AA$60,$A$61:$H$61,0))*고양시_Modal_split!C$3 * 0.01</f>
        <v>3.4807584382110512</v>
      </c>
      <c r="AB65" s="207">
        <f>INDEX($A$61:$H$74,MATCH($L65,$B$61:$B$74,0),MATCH($AA$60,$A$61:$H$61,0))*고양시_Modal_split!D$3 * 0.01</f>
        <v>584.64310481809207</v>
      </c>
      <c r="AC65" s="207">
        <f>INDEX($A$61:$H$74,MATCH($L65,$B$61:$B$74,0),MATCH($AA$60,$A$61:$H$61,0))*고양시_Modal_split!E$3 * 0.01</f>
        <v>70.733983976503154</v>
      </c>
      <c r="AD65" s="207">
        <f>INDEX($A$61:$H$74,MATCH($L65,$B$61:$B$74,0),MATCH($AA$60,$A$61:$H$61,0))*고양시_Modal_split!F$3 * 0.01</f>
        <v>113.99483885141196</v>
      </c>
      <c r="AE65" s="207">
        <f>INDEX($A$61:$H$74,MATCH($L65,$B$61:$B$74,0),MATCH($AA$60,$A$61:$H$61,0))*고양시_Modal_split!G$3 * 0.01</f>
        <v>11.436777725550598</v>
      </c>
      <c r="AF65" s="207">
        <f>INDEX($A$61:$H$74,MATCH($L65,$B$61:$B$74,0),MATCH($AA$60,$A$61:$H$61,0))*고양시_Modal_split!H$3 * 0.01</f>
        <v>0.12431280136468044</v>
      </c>
      <c r="AG65" s="207">
        <f>INDEX($A$61:$H$74,MATCH($L65,$B$61:$B$74,0),MATCH($AA$60,$A$61:$H$61,0))*고양시_Modal_split!I$3 * 0.01</f>
        <v>34.558958779381157</v>
      </c>
      <c r="AH65" s="207">
        <f>INDEX($A$61:$H$74,MATCH($L65,$B$61:$B$74,0),MATCH($AA$60,$A$61:$H$61,0))*고양시_Modal_split!J$3 * 0.01</f>
        <v>378.4081673540872</v>
      </c>
      <c r="AI65" s="207">
        <f>INDEX($A$61:$H$74,MATCH($L65,$B$61:$B$74,0),MATCH($AA$60,$A$61:$H$61,0))*고양시_Modal_split!K$3 * 0.01</f>
        <v>1.8646920204702062</v>
      </c>
      <c r="AJ65" s="207">
        <f>INDEX($A$61:$H$74,MATCH($L65,$B$61:$B$74,0),MATCH($AA$60,$A$61:$H$61,0))*고양시_Modal_split!L$3 * 0.01</f>
        <v>37.542466012133488</v>
      </c>
      <c r="AK65" s="207">
        <f>INDEX($A$61:$H$74,MATCH($L65,$B$61:$B$74,0),MATCH($AA$60,$A$61:$H$61,0))*고양시_Modal_split!M$3 * 0.01</f>
        <v>2.8591944313876496</v>
      </c>
      <c r="AL65" s="207">
        <f>INDEX($A$61:$H$74,MATCH($L65,$B$61:$B$74,0),MATCH($AA$60,$A$61:$H$61,0))*고양시_Modal_split!N$3 * 0.01</f>
        <v>1.2431280136468044</v>
      </c>
      <c r="AM65" s="207">
        <f>INDEX($A$61:$H$74,MATCH($L65,$B$61:$B$74,0),MATCH($AA$60,$A$61:$H$61,0))*고양시_Modal_split!O$3 * 0.01</f>
        <v>2.2376304245642475</v>
      </c>
      <c r="AN65" s="207">
        <f>INDEX($A$61:$H$74,MATCH($L65,$B$61:$B$74,0),MATCH($AA$60,$A$61:$H$61,0))*고양시_Modal_split!P$3 * 0.01</f>
        <v>1243.1280136468042</v>
      </c>
      <c r="AO65" s="303">
        <f>INDEX($A$61:$H$74,MATCH($L65,$B$61:$B$74,0),MATCH($AO$60,$A$61:$H$61,0))*고양시_Modal_split!C$3 * 0.01</f>
        <v>0.15428584683045077</v>
      </c>
      <c r="AP65" s="303">
        <f>INDEX($A$61:$H$74,MATCH($L65,$B$61:$B$74,0),MATCH($AO$60,$A$61:$H$61,0))*고양시_Modal_split!D$3 * 0.01</f>
        <v>25.914512058700357</v>
      </c>
      <c r="AQ65" s="303">
        <f>INDEX($A$61:$H$74,MATCH($L65,$B$61:$B$74,0),MATCH($AO$60,$A$61:$H$61,0))*고양시_Modal_split!E$3 * 0.01</f>
        <v>3.1353088159473743</v>
      </c>
      <c r="AR65" s="303">
        <f>INDEX($A$61:$H$74,MATCH($L65,$B$61:$B$74,0),MATCH($AO$60,$A$61:$H$61,0))*고양시_Modal_split!F$3 * 0.01</f>
        <v>5.0528614836972627</v>
      </c>
      <c r="AS65" s="303">
        <f>INDEX($A$61:$H$74,MATCH($L65,$B$61:$B$74,0),MATCH($AO$60,$A$61:$H$61,0))*고양시_Modal_split!G$3 * 0.01</f>
        <v>0.50693921101433825</v>
      </c>
      <c r="AT65" s="303">
        <f>INDEX($A$61:$H$74,MATCH($L65,$B$61:$B$74,0),MATCH($AO$60,$A$61:$H$61,0))*고양시_Modal_split!H$3 * 0.01</f>
        <v>5.510208815373242E-3</v>
      </c>
      <c r="AU65" s="303">
        <f>INDEX($A$61:$H$74,MATCH($L65,$B$61:$B$74,0),MATCH($AO$60,$A$61:$H$61,0))*고양시_Modal_split!I$3 * 0.01</f>
        <v>1.5318380506737612</v>
      </c>
      <c r="AV65" s="303">
        <f>INDEX($A$61:$H$74,MATCH($L65,$B$61:$B$74,0),MATCH($AO$60,$A$61:$H$61,0))*고양시_Modal_split!J$3 * 0.01</f>
        <v>16.773075633996147</v>
      </c>
      <c r="AW65" s="303">
        <f>INDEX($A$61:$H$74,MATCH($L65,$B$61:$B$74,0),MATCH($AO$60,$A$61:$H$61,0))*고양시_Modal_split!K$3 * 0.01</f>
        <v>8.2653132230598628E-2</v>
      </c>
      <c r="AX65" s="303">
        <f>INDEX($A$61:$H$74,MATCH($L65,$B$61:$B$74,0),MATCH($AO$60,$A$61:$H$61,0))*고양시_Modal_split!L$3 * 0.01</f>
        <v>1.6640830622427192</v>
      </c>
      <c r="AY65" s="303">
        <f>INDEX($A$61:$H$74,MATCH($L65,$B$61:$B$74,0),MATCH($AO$60,$A$61:$H$61,0))*고양시_Modal_split!M$3 * 0.01</f>
        <v>0.12673480275358456</v>
      </c>
      <c r="AZ65" s="303">
        <f>INDEX($A$61:$H$74,MATCH($L65,$B$61:$B$74,0),MATCH($AO$60,$A$61:$H$61,0))*고양시_Modal_split!N$3 * 0.01</f>
        <v>5.5102088153732423E-2</v>
      </c>
      <c r="BA65" s="207">
        <f>INDEX($A$61:$H$74,MATCH($L65,$B$61:$B$74,0),MATCH($AO$60,$A$61:$H$61,0))*고양시_Modal_split!O$3 * 0.01</f>
        <v>9.9183758676718345E-2</v>
      </c>
      <c r="BB65" s="207">
        <f>INDEX($A$61:$H$74,MATCH($L65,$B$61:$B$74,0),MATCH($AO$60,$A$61:$H$61,0))*고양시_Modal_split!P$3 * 0.01</f>
        <v>55.102088153732424</v>
      </c>
      <c r="BC65" s="207">
        <f>INDEX($A$61:$H$74,MATCH($L65,$B$61:$B$74,0),MATCH($BC$60,$A$61:$H$61,0))*고양시_Modal_split!C$3 * 0.01</f>
        <v>4.184022964893589E-4</v>
      </c>
      <c r="BD65" s="207">
        <f>INDEX($A$61:$H$74,MATCH($L65,$B$61:$B$74,0),MATCH($BC$60,$A$61:$H$61,0))*고양시_Modal_split!D$3 * 0.01</f>
        <v>7.0276642871051967E-2</v>
      </c>
      <c r="BE65" s="207">
        <f>INDEX($A$61:$H$74,MATCH($L65,$B$61:$B$74,0),MATCH($BC$60,$A$61:$H$61,0))*고양시_Modal_split!E$3 * 0.01</f>
        <v>8.5025323822301869E-3</v>
      </c>
      <c r="BF65" s="207">
        <f>INDEX($A$61:$H$74,MATCH($L65,$B$61:$B$74,0),MATCH($BC$60,$A$61:$H$61,0))*고양시_Modal_split!F$3 * 0.01</f>
        <v>1.3702675210026506E-2</v>
      </c>
      <c r="BG65" s="207">
        <f>INDEX($A$61:$H$74,MATCH($L65,$B$61:$B$74,0),MATCH($BC$60,$A$61:$H$61,0))*고양시_Modal_split!G$3 * 0.01</f>
        <v>1.3747504027507506E-3</v>
      </c>
      <c r="BH65" s="207">
        <f>INDEX($A$61:$H$74,MATCH($L65,$B$61:$B$74,0),MATCH($BC$60,$A$61:$H$61,0))*고양시_Modal_split!H$3 * 0.01</f>
        <v>1.4942939160334251E-5</v>
      </c>
      <c r="BI65" s="207">
        <f>INDEX($A$61:$H$74,MATCH($L65,$B$61:$B$74,0),MATCH($BC$60,$A$61:$H$61,0))*고양시_Modal_split!I$3 * 0.01</f>
        <v>4.1541370865729203E-3</v>
      </c>
      <c r="BJ65" s="207">
        <f>INDEX($A$61:$H$74,MATCH($L65,$B$61:$B$74,0),MATCH($BC$60,$A$61:$H$61,0))*고양시_Modal_split!J$3 * 0.01</f>
        <v>4.5486306804057457E-2</v>
      </c>
      <c r="BK65" s="207">
        <f>INDEX($A$61:$H$74,MATCH($L65,$B$61:$B$74,0),MATCH($BC$60,$A$61:$H$61,0))*고양시_Modal_split!K$3 * 0.01</f>
        <v>2.2414408740501372E-4</v>
      </c>
      <c r="BL65" s="207">
        <f>INDEX($A$61:$H$74,MATCH($L65,$B$61:$B$74,0),MATCH($BC$60,$A$61:$H$61,0))*고양시_Modal_split!L$3 * 0.01</f>
        <v>4.5127676264209429E-3</v>
      </c>
      <c r="BM65" s="207">
        <f>INDEX($A$61:$H$74,MATCH($L65,$B$61:$B$74,0),MATCH($BC$60,$A$61:$H$61,0))*고양시_Modal_split!M$3 * 0.01</f>
        <v>3.4368760068768765E-4</v>
      </c>
      <c r="BN65" s="207">
        <f>INDEX($A$61:$H$74,MATCH($L65,$B$61:$B$74,0),MATCH($BC$60,$A$61:$H$61,0))*고양시_Modal_split!N$3 * 0.01</f>
        <v>1.4942939160334249E-4</v>
      </c>
      <c r="BO65" s="207">
        <f>INDEX($A$61:$H$74,MATCH($L65,$B$61:$B$74,0),MATCH($BC$60,$A$61:$H$61,0))*고양시_Modal_split!O$3 * 0.01</f>
        <v>2.6897290488601646E-4</v>
      </c>
      <c r="BP65" s="207">
        <f>INDEX($A$61:$H$74,MATCH($L65,$B$61:$B$74,0),MATCH($BC$60,$A$61:$H$61,0))*고양시_Modal_split!P$3 * 0.01</f>
        <v>0.14942939160334248</v>
      </c>
      <c r="BQ65" s="207">
        <f>INDEX($A$61:$H$74,MATCH($L65,$B$61:$B$74,0),MATCH($BQ$60,$A$61:$H$61,0))*고양시_Modal_split!C$3 * 0.01</f>
        <v>1.1854731733865129E-3</v>
      </c>
      <c r="BR65" s="207">
        <f>INDEX($A$61:$H$74,MATCH($L65,$B$61:$B$74,0),MATCH($BQ$60,$A$61:$H$61,0))*고양시_Modal_split!D$3 * 0.01</f>
        <v>0.19911715480131326</v>
      </c>
      <c r="BS65" s="207">
        <f>INDEX($A$61:$H$74,MATCH($L65,$B$61:$B$74,0),MATCH($BQ$60,$A$61:$H$61,0))*고양시_Modal_split!E$3 * 0.01</f>
        <v>2.4090508416318782E-2</v>
      </c>
      <c r="BT65" s="207">
        <f>INDEX($A$61:$H$74,MATCH($L65,$B$61:$B$74,0),MATCH($BQ$60,$A$61:$H$61,0))*고양시_Modal_split!F$3 * 0.01</f>
        <v>3.8824246428408302E-2</v>
      </c>
      <c r="BU65" s="207">
        <f>INDEX($A$61:$H$74,MATCH($L65,$B$61:$B$74,0),MATCH($BQ$60,$A$61:$H$61,0))*고양시_Modal_split!G$3 * 0.01</f>
        <v>3.895126141127114E-3</v>
      </c>
      <c r="BV65" s="207">
        <f>INDEX($A$61:$H$74,MATCH($L65,$B$61:$B$74,0),MATCH($BQ$60,$A$61:$H$61,0))*고양시_Modal_split!H$3 * 0.01</f>
        <v>4.2338327620946892E-5</v>
      </c>
      <c r="BW65" s="207">
        <f>INDEX($A$61:$H$74,MATCH($L65,$B$61:$B$74,0),MATCH($BQ$60,$A$61:$H$61,0))*고양시_Modal_split!I$3 * 0.01</f>
        <v>1.1770055078623236E-2</v>
      </c>
      <c r="BX65" s="207">
        <f>INDEX($A$61:$H$74,MATCH($L65,$B$61:$B$74,0),MATCH($BQ$60,$A$61:$H$61,0))*고양시_Modal_split!J$3 * 0.01</f>
        <v>0.12887786927816236</v>
      </c>
      <c r="BY65" s="207">
        <f>INDEX($A$61:$H$74,MATCH($L65,$B$61:$B$74,0),MATCH($BQ$60,$A$61:$H$61,0))*고양시_Modal_split!K$3 * 0.01</f>
        <v>6.3507491431420335E-4</v>
      </c>
      <c r="BZ65" s="207">
        <f>INDEX($A$61:$H$74,MATCH($L65,$B$61:$B$74,0),MATCH($BQ$60,$A$61:$H$61,0))*고양시_Modal_split!L$3 * 0.01</f>
        <v>1.278617494152596E-2</v>
      </c>
      <c r="CA65" s="207">
        <f>INDEX($A$61:$H$74,MATCH($L65,$B$61:$B$74,0),MATCH($BQ$60,$A$61:$H$61,0))*고양시_Modal_split!M$3 * 0.01</f>
        <v>9.7378153528177849E-4</v>
      </c>
      <c r="CB65" s="207">
        <f>INDEX($A$61:$H$74,MATCH($L65,$B$61:$B$74,0),MATCH($BQ$60,$A$61:$H$61,0))*고양시_Modal_split!N$3 * 0.01</f>
        <v>4.2338327620946892E-4</v>
      </c>
      <c r="CC65" s="207">
        <f>INDEX($A$61:$H$74,MATCH($L65,$B$61:$B$74,0),MATCH($BQ$60,$A$61:$H$61,0))*고양시_Modal_split!O$3 * 0.01</f>
        <v>7.62089897177044E-4</v>
      </c>
      <c r="CD65" s="207">
        <f>INDEX($A$61:$H$74,MATCH($L65,$B$61:$B$74,0),MATCH($BQ$60,$A$61:$H$61,0))*고양시_Modal_split!P$3 * 0.01</f>
        <v>0.42338327620946892</v>
      </c>
      <c r="CE65" s="304">
        <f t="shared" si="31"/>
        <v>4.0842688840389103</v>
      </c>
      <c r="CF65" s="304">
        <f t="shared" si="13"/>
        <v>686.01130577267861</v>
      </c>
      <c r="CG65" s="304">
        <f t="shared" si="14"/>
        <v>82.998178393505015</v>
      </c>
      <c r="CH65" s="304">
        <f t="shared" si="15"/>
        <v>133.75980595227438</v>
      </c>
      <c r="CI65" s="304">
        <f t="shared" si="16"/>
        <v>13.419740618984994</v>
      </c>
      <c r="CJ65" s="304">
        <f t="shared" si="17"/>
        <v>0.14586674585853254</v>
      </c>
      <c r="CK65" s="304">
        <f t="shared" si="18"/>
        <v>40.550955348672048</v>
      </c>
      <c r="CL65" s="304">
        <f t="shared" si="19"/>
        <v>444.01837439337305</v>
      </c>
      <c r="CM65" s="304">
        <f t="shared" si="20"/>
        <v>2.1880011878779881</v>
      </c>
      <c r="CN65" s="304">
        <f t="shared" si="21"/>
        <v>44.051757249276832</v>
      </c>
      <c r="CO65" s="304">
        <f t="shared" si="22"/>
        <v>3.3549351547462485</v>
      </c>
      <c r="CP65" s="304">
        <f t="shared" si="23"/>
        <v>1.4586674585853259</v>
      </c>
      <c r="CQ65" s="304">
        <f t="shared" si="24"/>
        <v>2.6256014254535862</v>
      </c>
      <c r="CR65" s="304">
        <f t="shared" si="25"/>
        <v>1458.6674585853254</v>
      </c>
      <c r="CS65" s="305">
        <f t="shared" si="32"/>
        <v>0</v>
      </c>
      <c r="CV65" s="265" t="s">
        <v>605</v>
      </c>
      <c r="CW65" s="265" t="s">
        <v>609</v>
      </c>
      <c r="CX65" s="267">
        <f>INDEX($M$60:$Z$74,MATCH($CW65,$L$60:$L$74,0),MATCH(CX$61,$M$61:$Z$61,0))/INDEX(고양시_재차인원!$D$4:$H$35,MATCH("고양시",고양시_재차인원!$B$4:$B$35,0),MATCH($CX$60,고양시_재차인원!$D$4:$H$4,0))</f>
        <v>67.128834909119533</v>
      </c>
      <c r="CY65" s="267">
        <f>INDEX($M$60:$Z$74,MATCH($CW65,$L$60:$L$74,0),MATCH(CY$61,$M$61:$Z$61,0))/INDEX(고양시_재차인원!$K$4:$O$20,MATCH("경기도",고양시_재차인원!$K$4:$K$20,0),MATCH($CY$61,고양시_재차인원!$K$4:$O$4,0))</f>
        <v>5.5527802749904881E-4</v>
      </c>
      <c r="CZ65" s="267">
        <f>INDEX($M$60:$Z$74,MATCH($CW65,$L$60:$L$74,0),MATCH(CZ$61,$M$61:$Z$61,0))/INDEX(고양시_재차인원!$K$4:$O$20,MATCH("경기도",고양시_재차인원!$K$4:$K$20,0),MATCH($CZ$61,고양시_재차인원!$K$4:$O$4,0))</f>
        <v>0.15436729164473556</v>
      </c>
      <c r="DA65" s="267">
        <f>INDEX($M$60:$Z$74,MATCH($CW65,$L$60:$L$74,0),MATCH(DA$61,$M$61:$Z$61,0))/INDEX(고양시_재차인원!$D$4:$H$35,MATCH("고양시",고양시_재차인원!$B$4:$B$35,0),MATCH($CX$60,고양시_재차인원!$D$4:$H$4,0))</f>
        <v>4.3106332431541778</v>
      </c>
      <c r="DB65" s="267">
        <f>INDEX($AA$60:$AN$74,MATCH($CW65,$L$60:$L$74,0),MATCH(DB$61,$AA$61:$AN$61,0))/INDEX(고양시_재차인원!$D$4:$H$35,MATCH("고양시",고양시_재차인원!$B$4:$B$35,0),MATCH($DB$60,고양시_재차인원!$D$4:$H$4,0))</f>
        <v>414.6404998709873</v>
      </c>
      <c r="DC65" s="267">
        <f>INDEX($AA$60:$AN$74,MATCH($CW65,$L$60:$L$74,0),MATCH(DC$61,$AA$61:$AN$61,0))/INDEX(고양시_재차인원!$K$4:$O$20,MATCH("경기도",고양시_재차인원!$K$4:$K$20,0),MATCH($DC$61,고양시_재차인원!$K$4:$O$4,0))</f>
        <v>4.3179159904369723E-3</v>
      </c>
      <c r="DD65" s="267">
        <f>INDEX($AA$60:$AN$74,MATCH($CW65,$L$60:$L$74,0),MATCH(DD$61,$AA$61:$AN$61,0))/INDEX(고양시_재차인원!$K$4:$O$20,MATCH("경기도",고양시_재차인원!$K$4:$K$20,0),MATCH($DD$61,고양시_재차인원!$K$4:$O$4,0))</f>
        <v>1.2003806453414783</v>
      </c>
      <c r="DE65" s="267">
        <f>INDEX($AA$60:$AN$74,MATCH($CW65,$L$60:$L$74,0),MATCH(DE$61,$AA$61:$AN$61,0))/INDEX(고양시_재차인원!$D$4:$H$35,MATCH("고양시",고양시_재차인원!$B$4:$B$35,0),MATCH($DB$60,고양시_재차인원!$D$4:$H$4,0))</f>
        <v>26.625862419952831</v>
      </c>
      <c r="DF65" s="267">
        <f>INDEX($AO$60:$BB$74,MATCH($CW65,$L$60:$L$74,0),MATCH(DF$61,$AO$61:$BB$61,0))/INDEX(고양시_재차인원!$D$4:$H$35,MATCH("고양시",고양시_재차인원!$B$4:$B$35,0),MATCH($DF$60,고양시_재차인원!$D$4:$H$4,0))</f>
        <v>19.93424004515412</v>
      </c>
      <c r="DG65" s="267">
        <f>INDEX($AO$60:$BB$74,MATCH($CW65,$L$60:$L$74,0),MATCH(DG$61,$AO$61:$BB$61,0))/INDEX(고양시_재차인원!$K$4:$O$20,MATCH("경기도",고양시_재차인원!$K$4:$K$20,0),MATCH($DG$61,고양시_재차인원!$K$4:$O$4,0))</f>
        <v>1.9139315093342279E-4</v>
      </c>
      <c r="DH65" s="267">
        <f>INDEX($AO$60:$BB$74,MATCH($CW65,$L$60:$L$74,0),MATCH(DH$61,$AO$61:$BB$61,0))/INDEX(고양시_재차인원!$K$4:$O$20,MATCH("경기도",고양시_재차인원!$K$4:$K$20,0),MATCH($DH$61,고양시_재차인원!$K$4:$O$4,0))</f>
        <v>5.3207295959491537E-2</v>
      </c>
      <c r="DI65" s="267">
        <f>INDEX($AO$60:$BB$74,MATCH($CW65,$L$60:$L$74,0),MATCH(DI$61,$AO$61:$BB$61,0))/INDEX(고양시_재차인원!$D$4:$H$35,MATCH("고양시",고양시_재차인원!$B$4:$B$35,0),MATCH($DF$60,고양시_재차인원!$D$4:$H$4,0))</f>
        <v>1.2800638940328608</v>
      </c>
      <c r="DJ65" s="267">
        <f>INDEX($BC$60:$BP$74,MATCH($CW65,$L$60:$L$74,0),MATCH(DJ$61,$BC$61:$BP$61,0))/INDEX(고양시_재차인원!$D$4:$H$35,MATCH("고양시",고양시_재차인원!$B$4:$B$35,0),MATCH($DJ$60,고양시_재차인원!$D$4:$H$4,0))</f>
        <v>5.1674002111067617E-2</v>
      </c>
      <c r="DK65" s="267">
        <f>INDEX($BC$60:$BP$74,MATCH($CW65,$L$60:$L$74,0),MATCH(DK$61,$BC$61:$BP$61,0))/INDEX(고양시_재차인원!$K$4:$O$20,MATCH("경기도",고양시_재차인원!$K$4:$K$20,0),MATCH($DK$61,고양시_재차인원!$K$4:$O$4,0))</f>
        <v>5.1903227371775793E-7</v>
      </c>
      <c r="DL65" s="267">
        <f>INDEX($BC$60:$BP$74,MATCH($CW65,$L$60:$L$74,0),MATCH(DL$61,$BC$61:$BP$61,0))/INDEX(고양시_재차인원!$K$4:$O$20,MATCH("경기도",고양시_재차인원!$K$4:$K$20,0),MATCH($DL$61,고양시_재차인원!$K$4:$O$4,0))</f>
        <v>1.4429097209353665E-4</v>
      </c>
      <c r="DM65" s="267">
        <f>INDEX($BC$60:$BP$74,MATCH($CW65,$L$60:$L$74,0),MATCH(DM$61,$BC$61:$BP$61,0))/INDEX(고양시_재차인원!$D$4:$H$35,MATCH("고양시",고양시_재차인원!$B$4:$B$35,0),MATCH($DJ$60,고양시_재차인원!$D$4:$H$4,0))</f>
        <v>3.3182114900153991E-3</v>
      </c>
      <c r="DN65" s="267">
        <f>INDEX($BQ$60:$CD$74,MATCH($CW65,$L$60:$L$74,0),MATCH(DN$61,$BQ$61:$CD$61,0))/INDEX(고양시_재차인원!$D$4:$H$35,MATCH("고양시",고양시_재차인원!$B$4:$B$35,0),MATCH($DN$60,고양시_재차인원!$D$4:$H$4,0))</f>
        <v>0.1580294879375502</v>
      </c>
      <c r="DO65" s="267">
        <f>INDEX($BQ$60:$CD$74,MATCH($CW65,$L$60:$L$74,0),MATCH(DO$61,$BQ$61:$CD$61,0))/INDEX(고양시_재차인원!$K$4:$O$20,MATCH("경기도",고양시_재차인원!$K$4:$K$20,0),MATCH($DO$61,고양시_재차인원!$K$4:$O$4,0))</f>
        <v>1.4705914422003089E-6</v>
      </c>
      <c r="DP65" s="267">
        <f>INDEX($BQ$60:$CD$74,MATCH($CW65,$L$60:$L$74,0),MATCH(DP$61,$BQ$61:$CD$61,0))/INDEX(고양시_재차인원!$K$4:$O$20,MATCH("경기도",고양시_재차인원!$K$4:$K$20,0),MATCH($DP$61,고양시_재차인원!$K$4:$O$4,0))</f>
        <v>4.088244209316859E-4</v>
      </c>
      <c r="DQ65" s="267">
        <f>INDEX($BQ$60:$CD$74,MATCH($CW65,$L$60:$L$74,0),MATCH(DQ$61,$BQ$61:$CD$61,0))/INDEX(고양시_재차인원!$D$4:$H$35,MATCH("고양시",고양시_재차인원!$B$4:$B$35,0),MATCH($DN$60,고양시_재차인원!$D$4:$H$4,0))</f>
        <v>1.0147757890099968E-2</v>
      </c>
      <c r="DR65" s="270">
        <f t="shared" si="33"/>
        <v>501.91327831530953</v>
      </c>
      <c r="DS65" s="270">
        <f t="shared" si="26"/>
        <v>5.0665767925853625E-3</v>
      </c>
      <c r="DT65" s="270">
        <f t="shared" si="27"/>
        <v>1.4085083483387306</v>
      </c>
      <c r="DU65" s="270">
        <f t="shared" si="28"/>
        <v>32.230025526519995</v>
      </c>
      <c r="DW65" s="278" t="s">
        <v>605</v>
      </c>
      <c r="DX65" s="278" t="s">
        <v>609</v>
      </c>
      <c r="DY65" s="281">
        <f t="shared" si="34"/>
        <v>534.14330384182949</v>
      </c>
      <c r="DZ65" s="281">
        <f t="shared" si="35"/>
        <v>1.4135749251313159</v>
      </c>
      <c r="EB65" s="278" t="s">
        <v>622</v>
      </c>
      <c r="EC65" s="278" t="s">
        <v>609</v>
      </c>
      <c r="ED65" s="309">
        <f t="shared" si="36"/>
        <v>627.25284873943804</v>
      </c>
      <c r="EE65" s="309">
        <f t="shared" si="29"/>
        <v>1.6599831773943123</v>
      </c>
      <c r="EK65" s="420" t="s">
        <v>622</v>
      </c>
      <c r="EL65" s="420" t="s">
        <v>619</v>
      </c>
      <c r="EM65" s="420" t="s">
        <v>76</v>
      </c>
      <c r="EN65" s="420">
        <v>38408.5</v>
      </c>
      <c r="EO65" s="420">
        <v>1</v>
      </c>
      <c r="EP65" s="421">
        <v>849004</v>
      </c>
      <c r="EQ65" s="422">
        <f t="shared" si="37"/>
        <v>729.24772600882307</v>
      </c>
      <c r="ER65" s="422">
        <f t="shared" si="38"/>
        <v>1.9299058740992066</v>
      </c>
      <c r="ES65">
        <v>0</v>
      </c>
      <c r="EU65" s="306" t="s">
        <v>622</v>
      </c>
      <c r="EV65" s="306" t="s">
        <v>199</v>
      </c>
      <c r="EW65" s="306" t="s">
        <v>76</v>
      </c>
      <c r="EX65" s="306">
        <v>38408.5</v>
      </c>
      <c r="EY65" s="306">
        <v>1</v>
      </c>
      <c r="EZ65" s="307">
        <v>849004</v>
      </c>
      <c r="FA65" s="308">
        <f t="shared" si="39"/>
        <v>729.24772600882307</v>
      </c>
      <c r="FB65" s="308">
        <f t="shared" si="30"/>
        <v>1.9299058740992066</v>
      </c>
      <c r="FD65" s="101"/>
      <c r="FE65" s="101"/>
      <c r="FF65" s="101"/>
      <c r="FG65" s="101"/>
      <c r="FH65" s="101"/>
      <c r="FI65" s="374"/>
      <c r="FJ65" s="404"/>
      <c r="FK65" s="404"/>
    </row>
    <row r="66" spans="1:167">
      <c r="A66" s="205" t="s">
        <v>12</v>
      </c>
      <c r="B66" s="205" t="s">
        <v>12</v>
      </c>
      <c r="C66" s="201">
        <f>$L33*KTDB_TripDistribution_2045!L$12</f>
        <v>19.821763027077424</v>
      </c>
      <c r="D66" s="201">
        <f>$L33*KTDB_TripDistribution_2045!M$12</f>
        <v>154.13667261202153</v>
      </c>
      <c r="E66" s="201">
        <f>$L33*KTDB_TripDistribution_2045!N$12</f>
        <v>6.8321624392286395</v>
      </c>
      <c r="F66" s="201">
        <f>$L33*KTDB_TripDistribution_2045!O$12</f>
        <v>1.85278981402811E-2</v>
      </c>
      <c r="G66" s="201">
        <f>$L33*KTDB_TripDistribution_2045!P$12</f>
        <v>5.2495711397462931E-2</v>
      </c>
      <c r="H66" s="201">
        <f>$L33*KTDB_TripDistribution_2045!Q$12</f>
        <v>180.86162168786535</v>
      </c>
      <c r="J66" s="230">
        <f t="shared" si="12"/>
        <v>180.86162168786535</v>
      </c>
      <c r="K66" s="206" t="s">
        <v>12</v>
      </c>
      <c r="L66" s="206" t="s">
        <v>12</v>
      </c>
      <c r="M66" s="206">
        <f>INDEX($A$61:$H$74,MATCH($L66,$B$61:$B$74,0),MATCH($M$60,$A$61:$H$61,0))*고양시_Modal_split!C$3 * 0.01</f>
        <v>5.5500936475816783E-2</v>
      </c>
      <c r="N66" s="206">
        <f>INDEX($A$61:$H$74,MATCH($L66,$B$61:$B$74,0),MATCH($M$60,$A$61:$H$61,0))*고양시_Modal_split!D$3 * 0.01</f>
        <v>9.3221751516345126</v>
      </c>
      <c r="O66" s="206">
        <f>INDEX($A$61:$H$74,MATCH($L66,$B$61:$B$74,0),MATCH($M$60,$A$61:$H$61,0))*고양시_Modal_split!E$3 * 0.01</f>
        <v>1.1278583162407052</v>
      </c>
      <c r="P66" s="206">
        <f>INDEX($A$61:$H$74,MATCH($L66,$B$61:$B$74,0),MATCH($M$60,$A$61:$H$61,0))*고양시_Modal_split!F$3 * 0.01</f>
        <v>1.817655669583</v>
      </c>
      <c r="Q66" s="206">
        <f>INDEX($A$61:$H$74,MATCH($L66,$B$61:$B$74,0),MATCH($M$60,$A$61:$H$61,0))*고양시_Modal_split!G$3 * 0.01</f>
        <v>0.1823602198491123</v>
      </c>
      <c r="R66" s="206">
        <f>INDEX($A$61:$H$74,MATCH($L66,$B$61:$B$74,0),MATCH($M$60,$A$61:$H$61,0))*고양시_Modal_split!H$3 * 0.01</f>
        <v>1.9821763027077425E-3</v>
      </c>
      <c r="S66" s="206">
        <f>INDEX($A$61:$H$74,MATCH($L66,$B$61:$B$74,0),MATCH($M$60,$A$61:$H$61,0))*고양시_Modal_split!I$3 * 0.01</f>
        <v>0.55104501215275237</v>
      </c>
      <c r="T66" s="206">
        <f>INDEX($A$61:$H$74,MATCH($L66,$B$61:$B$74,0),MATCH($M$60,$A$61:$H$61,0))*고양시_Modal_split!J$3 * 0.01</f>
        <v>6.0337446654423683</v>
      </c>
      <c r="U66" s="206">
        <f>INDEX($A$61:$H$74,MATCH($L66,$B$61:$B$74,0),MATCH($M$60,$A$61:$H$61,0))*고양시_Modal_split!K$3 * 0.01</f>
        <v>2.9732644540616138E-2</v>
      </c>
      <c r="V66" s="206">
        <f>INDEX($A$61:$H$74,MATCH($L66,$B$61:$B$74,0),MATCH($M$60,$A$61:$H$61,0))*고양시_Modal_split!L$3 * 0.01</f>
        <v>0.59861724341773825</v>
      </c>
      <c r="W66" s="206">
        <f>INDEX($A$61:$H$74,MATCH($L66,$B$61:$B$74,0),MATCH($M$60,$A$61:$H$61,0))*고양시_Modal_split!M$3 * 0.01</f>
        <v>4.5590054962278075E-2</v>
      </c>
      <c r="X66" s="206">
        <f>INDEX($A$61:$H$74,MATCH($L66,$B$61:$B$74,0),MATCH($M$60,$A$61:$H$61,0))*고양시_Modal_split!N$3 * 0.01</f>
        <v>1.9821763027077423E-2</v>
      </c>
      <c r="Y66" s="206">
        <f>INDEX($A$61:$H$74,MATCH($L66,$B$61:$B$74,0),MATCH($M$60,$A$61:$H$61,0))*고양시_Modal_split!O$3 * 0.01</f>
        <v>3.567917344873936E-2</v>
      </c>
      <c r="Z66" s="209">
        <f>INDEX($A$61:$H$74,MATCH($L66,$B$61:$B$74,0),MATCH($M$60,$A$61:$H$61,0))*고양시_Modal_split!P$3 * 0.01</f>
        <v>19.821763027077424</v>
      </c>
      <c r="AA66" s="207">
        <f>INDEX($A$61:$H$74,MATCH($L66,$B$61:$B$74,0),MATCH($AA$60,$A$61:$H$61,0))*고양시_Modal_split!C$3 * 0.01</f>
        <v>0.43158268331366023</v>
      </c>
      <c r="AB66" s="207">
        <f>INDEX($A$61:$H$74,MATCH($L66,$B$61:$B$74,0),MATCH($AA$60,$A$61:$H$61,0))*고양시_Modal_split!D$3 * 0.01</f>
        <v>72.490477129433728</v>
      </c>
      <c r="AC66" s="207">
        <f>INDEX($A$61:$H$74,MATCH($L66,$B$61:$B$74,0),MATCH($AA$60,$A$61:$H$61,0))*고양시_Modal_split!E$3 * 0.01</f>
        <v>8.7703766716240246</v>
      </c>
      <c r="AD66" s="207">
        <f>INDEX($A$61:$H$74,MATCH($L66,$B$61:$B$74,0),MATCH($AA$60,$A$61:$H$61,0))*고양시_Modal_split!F$3 * 0.01</f>
        <v>14.134332878522374</v>
      </c>
      <c r="AE66" s="207">
        <f>INDEX($A$61:$H$74,MATCH($L66,$B$61:$B$74,0),MATCH($AA$60,$A$61:$H$61,0))*고양시_Modal_split!G$3 * 0.01</f>
        <v>1.418057388030598</v>
      </c>
      <c r="AF66" s="207">
        <f>INDEX($A$61:$H$74,MATCH($L66,$B$61:$B$74,0),MATCH($AA$60,$A$61:$H$61,0))*고양시_Modal_split!H$3 * 0.01</f>
        <v>1.5413667261202153E-2</v>
      </c>
      <c r="AG66" s="207">
        <f>INDEX($A$61:$H$74,MATCH($L66,$B$61:$B$74,0),MATCH($AA$60,$A$61:$H$61,0))*고양시_Modal_split!I$3 * 0.01</f>
        <v>4.2849994986141979</v>
      </c>
      <c r="AH66" s="207">
        <f>INDEX($A$61:$H$74,MATCH($L66,$B$61:$B$74,0),MATCH($AA$60,$A$61:$H$61,0))*고양시_Modal_split!J$3 * 0.01</f>
        <v>46.919203143099359</v>
      </c>
      <c r="AI66" s="207">
        <f>INDEX($A$61:$H$74,MATCH($L66,$B$61:$B$74,0),MATCH($AA$60,$A$61:$H$61,0))*고양시_Modal_split!K$3 * 0.01</f>
        <v>0.23120500891803228</v>
      </c>
      <c r="AJ66" s="207">
        <f>INDEX($A$61:$H$74,MATCH($L66,$B$61:$B$74,0),MATCH($AA$60,$A$61:$H$61,0))*고양시_Modal_split!L$3 * 0.01</f>
        <v>4.6549275128830505</v>
      </c>
      <c r="AK66" s="207">
        <f>INDEX($A$61:$H$74,MATCH($L66,$B$61:$B$74,0),MATCH($AA$60,$A$61:$H$61,0))*고양시_Modal_split!M$3 * 0.01</f>
        <v>0.3545143470076495</v>
      </c>
      <c r="AL66" s="207">
        <f>INDEX($A$61:$H$74,MATCH($L66,$B$61:$B$74,0),MATCH($AA$60,$A$61:$H$61,0))*고양시_Modal_split!N$3 * 0.01</f>
        <v>0.15413667261202155</v>
      </c>
      <c r="AM66" s="207">
        <f>INDEX($A$61:$H$74,MATCH($L66,$B$61:$B$74,0),MATCH($AA$60,$A$61:$H$61,0))*고양시_Modal_split!O$3 * 0.01</f>
        <v>0.27744601070163877</v>
      </c>
      <c r="AN66" s="207">
        <f>INDEX($A$61:$H$74,MATCH($L66,$B$61:$B$74,0),MATCH($AA$60,$A$61:$H$61,0))*고양시_Modal_split!P$3 * 0.01</f>
        <v>154.13667261202153</v>
      </c>
      <c r="AO66" s="303">
        <f>INDEX($A$61:$H$74,MATCH($L66,$B$61:$B$74,0),MATCH($AO$60,$A$61:$H$61,0))*고양시_Modal_split!C$3 * 0.01</f>
        <v>1.913005482984019E-2</v>
      </c>
      <c r="AP66" s="303">
        <f>INDEX($A$61:$H$74,MATCH($L66,$B$61:$B$74,0),MATCH($AO$60,$A$61:$H$61,0))*고양시_Modal_split!D$3 * 0.01</f>
        <v>3.2131659951692293</v>
      </c>
      <c r="AQ66" s="303">
        <f>INDEX($A$61:$H$74,MATCH($L66,$B$61:$B$74,0),MATCH($AO$60,$A$61:$H$61,0))*고양시_Modal_split!E$3 * 0.01</f>
        <v>0.38875004279210956</v>
      </c>
      <c r="AR66" s="303">
        <f>INDEX($A$61:$H$74,MATCH($L66,$B$61:$B$74,0),MATCH($AO$60,$A$61:$H$61,0))*고양시_Modal_split!F$3 * 0.01</f>
        <v>0.62650929567726621</v>
      </c>
      <c r="AS66" s="303">
        <f>INDEX($A$61:$H$74,MATCH($L66,$B$61:$B$74,0),MATCH($AO$60,$A$61:$H$61,0))*고양시_Modal_split!G$3 * 0.01</f>
        <v>6.2855894440903476E-2</v>
      </c>
      <c r="AT66" s="303">
        <f>INDEX($A$61:$H$74,MATCH($L66,$B$61:$B$74,0),MATCH($AO$60,$A$61:$H$61,0))*고양시_Modal_split!H$3 * 0.01</f>
        <v>6.8321624392286395E-4</v>
      </c>
      <c r="AU66" s="303">
        <f>INDEX($A$61:$H$74,MATCH($L66,$B$61:$B$74,0),MATCH($AO$60,$A$61:$H$61,0))*고양시_Modal_split!I$3 * 0.01</f>
        <v>0.18993411581055619</v>
      </c>
      <c r="AV66" s="303">
        <f>INDEX($A$61:$H$74,MATCH($L66,$B$61:$B$74,0),MATCH($AO$60,$A$61:$H$61,0))*고양시_Modal_split!J$3 * 0.01</f>
        <v>2.0797102465011981</v>
      </c>
      <c r="AW66" s="303">
        <f>INDEX($A$61:$H$74,MATCH($L66,$B$61:$B$74,0),MATCH($AO$60,$A$61:$H$61,0))*고양시_Modal_split!K$3 * 0.01</f>
        <v>1.024824365884296E-2</v>
      </c>
      <c r="AX66" s="303">
        <f>INDEX($A$61:$H$74,MATCH($L66,$B$61:$B$74,0),MATCH($AO$60,$A$61:$H$61,0))*고양시_Modal_split!L$3 * 0.01</f>
        <v>0.20633130566470492</v>
      </c>
      <c r="AY66" s="303">
        <f>INDEX($A$61:$H$74,MATCH($L66,$B$61:$B$74,0),MATCH($AO$60,$A$61:$H$61,0))*고양시_Modal_split!M$3 * 0.01</f>
        <v>1.5713973610225869E-2</v>
      </c>
      <c r="AZ66" s="303">
        <f>INDEX($A$61:$H$74,MATCH($L66,$B$61:$B$74,0),MATCH($AO$60,$A$61:$H$61,0))*고양시_Modal_split!N$3 * 0.01</f>
        <v>6.8321624392286397E-3</v>
      </c>
      <c r="BA66" s="207">
        <f>INDEX($A$61:$H$74,MATCH($L66,$B$61:$B$74,0),MATCH($AO$60,$A$61:$H$61,0))*고양시_Modal_split!O$3 * 0.01</f>
        <v>1.2297892390611551E-2</v>
      </c>
      <c r="BB66" s="207">
        <f>INDEX($A$61:$H$74,MATCH($L66,$B$61:$B$74,0),MATCH($AO$60,$A$61:$H$61,0))*고양시_Modal_split!P$3 * 0.01</f>
        <v>6.8321624392286395</v>
      </c>
      <c r="BC66" s="207">
        <f>INDEX($A$61:$H$74,MATCH($L66,$B$61:$B$74,0),MATCH($BC$60,$A$61:$H$61,0))*고양시_Modal_split!C$3 * 0.01</f>
        <v>5.1878114792787079E-5</v>
      </c>
      <c r="BD66" s="207">
        <f>INDEX($A$61:$H$74,MATCH($L66,$B$61:$B$74,0),MATCH($BC$60,$A$61:$H$61,0))*고양시_Modal_split!D$3 * 0.01</f>
        <v>8.7136704953742015E-3</v>
      </c>
      <c r="BE66" s="207">
        <f>INDEX($A$61:$H$74,MATCH($L66,$B$61:$B$74,0),MATCH($BC$60,$A$61:$H$61,0))*고양시_Modal_split!E$3 * 0.01</f>
        <v>1.0542374041819945E-3</v>
      </c>
      <c r="BF66" s="207">
        <f>INDEX($A$61:$H$74,MATCH($L66,$B$61:$B$74,0),MATCH($BC$60,$A$61:$H$61,0))*고양시_Modal_split!F$3 * 0.01</f>
        <v>1.6990082594637768E-3</v>
      </c>
      <c r="BG66" s="207">
        <f>INDEX($A$61:$H$74,MATCH($L66,$B$61:$B$74,0),MATCH($BC$60,$A$61:$H$61,0))*고양시_Modal_split!G$3 * 0.01</f>
        <v>1.7045666289058613E-4</v>
      </c>
      <c r="BH66" s="207">
        <f>INDEX($A$61:$H$74,MATCH($L66,$B$61:$B$74,0),MATCH($BC$60,$A$61:$H$61,0))*고양시_Modal_split!H$3 * 0.01</f>
        <v>1.85278981402811E-6</v>
      </c>
      <c r="BI66" s="207">
        <f>INDEX($A$61:$H$74,MATCH($L66,$B$61:$B$74,0),MATCH($BC$60,$A$61:$H$61,0))*고양시_Modal_split!I$3 * 0.01</f>
        <v>5.1507556829981458E-4</v>
      </c>
      <c r="BJ66" s="207">
        <f>INDEX($A$61:$H$74,MATCH($L66,$B$61:$B$74,0),MATCH($BC$60,$A$61:$H$61,0))*고양시_Modal_split!J$3 * 0.01</f>
        <v>5.6398921939015672E-3</v>
      </c>
      <c r="BK66" s="207">
        <f>INDEX($A$61:$H$74,MATCH($L66,$B$61:$B$74,0),MATCH($BC$60,$A$61:$H$61,0))*고양시_Modal_split!K$3 * 0.01</f>
        <v>2.7791847210421648E-5</v>
      </c>
      <c r="BL66" s="207">
        <f>INDEX($A$61:$H$74,MATCH($L66,$B$61:$B$74,0),MATCH($BC$60,$A$61:$H$61,0))*고양시_Modal_split!L$3 * 0.01</f>
        <v>5.5954252383648927E-4</v>
      </c>
      <c r="BM66" s="207">
        <f>INDEX($A$61:$H$74,MATCH($L66,$B$61:$B$74,0),MATCH($BC$60,$A$61:$H$61,0))*고양시_Modal_split!M$3 * 0.01</f>
        <v>4.2614165722646532E-5</v>
      </c>
      <c r="BN66" s="207">
        <f>INDEX($A$61:$H$74,MATCH($L66,$B$61:$B$74,0),MATCH($BC$60,$A$61:$H$61,0))*고양시_Modal_split!N$3 * 0.01</f>
        <v>1.8527898140281101E-5</v>
      </c>
      <c r="BO66" s="207">
        <f>INDEX($A$61:$H$74,MATCH($L66,$B$61:$B$74,0),MATCH($BC$60,$A$61:$H$61,0))*고양시_Modal_split!O$3 * 0.01</f>
        <v>3.3350216652505978E-5</v>
      </c>
      <c r="BP66" s="207">
        <f>INDEX($A$61:$H$74,MATCH($L66,$B$61:$B$74,0),MATCH($BC$60,$A$61:$H$61,0))*고양시_Modal_split!P$3 * 0.01</f>
        <v>1.85278981402811E-2</v>
      </c>
      <c r="BQ66" s="207">
        <f>INDEX($A$61:$H$74,MATCH($L66,$B$61:$B$74,0),MATCH($BQ$60,$A$61:$H$61,0))*고양시_Modal_split!C$3 * 0.01</f>
        <v>1.469879919128962E-4</v>
      </c>
      <c r="BR66" s="207">
        <f>INDEX($A$61:$H$74,MATCH($L66,$B$61:$B$74,0),MATCH($BQ$60,$A$61:$H$61,0))*고양시_Modal_split!D$3 * 0.01</f>
        <v>2.4688733070226818E-2</v>
      </c>
      <c r="BS66" s="207">
        <f>INDEX($A$61:$H$74,MATCH($L66,$B$61:$B$74,0),MATCH($BQ$60,$A$61:$H$61,0))*고양시_Modal_split!E$3 * 0.01</f>
        <v>2.9870059785156405E-3</v>
      </c>
      <c r="BT66" s="207">
        <f>INDEX($A$61:$H$74,MATCH($L66,$B$61:$B$74,0),MATCH($BQ$60,$A$61:$H$61,0))*고양시_Modal_split!F$3 * 0.01</f>
        <v>4.813856735147351E-3</v>
      </c>
      <c r="BU66" s="207">
        <f>INDEX($A$61:$H$74,MATCH($L66,$B$61:$B$74,0),MATCH($BQ$60,$A$61:$H$61,0))*고양시_Modal_split!G$3 * 0.01</f>
        <v>4.8296054485665897E-4</v>
      </c>
      <c r="BV66" s="207">
        <f>INDEX($A$61:$H$74,MATCH($L66,$B$61:$B$74,0),MATCH($BQ$60,$A$61:$H$61,0))*고양시_Modal_split!H$3 * 0.01</f>
        <v>5.2495711397462937E-6</v>
      </c>
      <c r="BW66" s="207">
        <f>INDEX($A$61:$H$74,MATCH($L66,$B$61:$B$74,0),MATCH($BQ$60,$A$61:$H$61,0))*고양시_Modal_split!I$3 * 0.01</f>
        <v>1.4593807768494694E-3</v>
      </c>
      <c r="BX66" s="207">
        <f>INDEX($A$61:$H$74,MATCH($L66,$B$61:$B$74,0),MATCH($BQ$60,$A$61:$H$61,0))*고양시_Modal_split!J$3 * 0.01</f>
        <v>1.5979694549387718E-2</v>
      </c>
      <c r="BY66" s="207">
        <f>INDEX($A$61:$H$74,MATCH($L66,$B$61:$B$74,0),MATCH($BQ$60,$A$61:$H$61,0))*고양시_Modal_split!K$3 * 0.01</f>
        <v>7.8743567096194387E-5</v>
      </c>
      <c r="BZ66" s="207">
        <f>INDEX($A$61:$H$74,MATCH($L66,$B$61:$B$74,0),MATCH($BQ$60,$A$61:$H$61,0))*고양시_Modal_split!L$3 * 0.01</f>
        <v>1.5853704842033805E-3</v>
      </c>
      <c r="CA66" s="207">
        <f>INDEX($A$61:$H$74,MATCH($L66,$B$61:$B$74,0),MATCH($BQ$60,$A$61:$H$61,0))*고양시_Modal_split!M$3 * 0.01</f>
        <v>1.2074013621416474E-4</v>
      </c>
      <c r="CB66" s="207">
        <f>INDEX($A$61:$H$74,MATCH($L66,$B$61:$B$74,0),MATCH($BQ$60,$A$61:$H$61,0))*고양시_Modal_split!N$3 * 0.01</f>
        <v>5.2495711397462936E-5</v>
      </c>
      <c r="CC66" s="207">
        <f>INDEX($A$61:$H$74,MATCH($L66,$B$61:$B$74,0),MATCH($BQ$60,$A$61:$H$61,0))*고양시_Modal_split!O$3 * 0.01</f>
        <v>9.4492280515433272E-5</v>
      </c>
      <c r="CD66" s="207">
        <f>INDEX($A$61:$H$74,MATCH($L66,$B$61:$B$74,0),MATCH($BQ$60,$A$61:$H$61,0))*고양시_Modal_split!P$3 * 0.01</f>
        <v>5.2495711397462931E-2</v>
      </c>
      <c r="CE66" s="304">
        <f t="shared" si="31"/>
        <v>0.50641254072602293</v>
      </c>
      <c r="CF66" s="304">
        <f t="shared" si="13"/>
        <v>85.059220679803062</v>
      </c>
      <c r="CG66" s="304">
        <f t="shared" si="14"/>
        <v>10.291026274039536</v>
      </c>
      <c r="CH66" s="304">
        <f t="shared" si="15"/>
        <v>16.585010708777251</v>
      </c>
      <c r="CI66" s="304">
        <f t="shared" si="16"/>
        <v>1.663926919528361</v>
      </c>
      <c r="CJ66" s="304">
        <f t="shared" si="17"/>
        <v>1.8086162168786533E-2</v>
      </c>
      <c r="CK66" s="304">
        <f t="shared" si="18"/>
        <v>5.0279530829226555</v>
      </c>
      <c r="CL66" s="304">
        <f t="shared" si="19"/>
        <v>55.054277641786221</v>
      </c>
      <c r="CM66" s="304">
        <f t="shared" si="20"/>
        <v>0.27129243253179797</v>
      </c>
      <c r="CN66" s="304">
        <f t="shared" si="21"/>
        <v>5.4620209749735338</v>
      </c>
      <c r="CO66" s="304">
        <f t="shared" si="22"/>
        <v>0.41598172988209026</v>
      </c>
      <c r="CP66" s="304">
        <f t="shared" si="23"/>
        <v>0.18086162168786532</v>
      </c>
      <c r="CQ66" s="304">
        <f t="shared" si="24"/>
        <v>0.32555091903815769</v>
      </c>
      <c r="CR66" s="304">
        <f t="shared" si="25"/>
        <v>180.86162168786535</v>
      </c>
      <c r="CS66" s="305">
        <f t="shared" si="32"/>
        <v>0</v>
      </c>
      <c r="CV66" s="265" t="s">
        <v>12</v>
      </c>
      <c r="CW66" s="265" t="s">
        <v>12</v>
      </c>
      <c r="CX66" s="267">
        <f>INDEX($M$60:$Z$74,MATCH($CW66,$L$60:$L$74,0),MATCH(CX$61,$M$61:$Z$61,0))/INDEX(고양시_재차인원!$D$4:$H$35,MATCH("고양시",고양시_재차인원!$B$4:$B$35,0),MATCH($CX$60,고양시_재차인원!$D$4:$H$4,0))</f>
        <v>8.3233706711022428</v>
      </c>
      <c r="CY66" s="267">
        <f>INDEX($M$60:$Z$74,MATCH($CW66,$L$60:$L$74,0),MATCH(CY$61,$M$61:$Z$61,0))/INDEX(고양시_재차인원!$K$4:$O$20,MATCH("경기도",고양시_재차인원!$K$4:$K$20,0),MATCH($CY$61,고양시_재차인원!$K$4:$O$4,0))</f>
        <v>6.8849472132953899E-5</v>
      </c>
      <c r="CZ66" s="267">
        <f>INDEX($M$60:$Z$74,MATCH($CW66,$L$60:$L$74,0),MATCH(CZ$61,$M$61:$Z$61,0))/INDEX(고양시_재차인원!$K$4:$O$20,MATCH("경기도",고양시_재차인원!$K$4:$K$20,0),MATCH($CZ$61,고양시_재차인원!$K$4:$O$4,0))</f>
        <v>1.914015325296118E-2</v>
      </c>
      <c r="DA66" s="267">
        <f>INDEX($M$60:$Z$74,MATCH($CW66,$L$60:$L$74,0),MATCH(DA$61,$M$61:$Z$61,0))/INDEX(고양시_재차인원!$D$4:$H$35,MATCH("고양시",고양시_재차인원!$B$4:$B$35,0),MATCH($CX$60,고양시_재차인원!$D$4:$H$4,0))</f>
        <v>0.53447968162298054</v>
      </c>
      <c r="DB66" s="267">
        <f>INDEX($AA$60:$AN$74,MATCH($CW66,$L$60:$L$74,0),MATCH(DB$61,$AA$61:$AN$61,0))/INDEX(고양시_재차인원!$D$4:$H$35,MATCH("고양시",고양시_재차인원!$B$4:$B$35,0),MATCH($DB$60,고양시_재차인원!$D$4:$H$4,0))</f>
        <v>51.411685907399807</v>
      </c>
      <c r="DC66" s="267">
        <f>INDEX($AA$60:$AN$74,MATCH($CW66,$L$60:$L$74,0),MATCH(DC$61,$AA$61:$AN$61,0))/INDEX(고양시_재차인원!$K$4:$O$20,MATCH("경기도",고양시_재차인원!$K$4:$K$20,0),MATCH($DC$61,고양시_재차인원!$K$4:$O$4,0))</f>
        <v>5.3538267666558364E-4</v>
      </c>
      <c r="DD66" s="267">
        <f>INDEX($AA$60:$AN$74,MATCH($CW66,$L$60:$L$74,0),MATCH(DD$61,$AA$61:$AN$61,0))/INDEX(고양시_재차인원!$K$4:$O$20,MATCH("경기도",고양시_재차인원!$K$4:$K$20,0),MATCH($DD$61,고양시_재차인원!$K$4:$O$4,0))</f>
        <v>0.14883638411303224</v>
      </c>
      <c r="DE66" s="267">
        <f>INDEX($AA$60:$AN$74,MATCH($CW66,$L$60:$L$74,0),MATCH(DE$61,$AA$61:$AN$61,0))/INDEX(고양시_재차인원!$D$4:$H$35,MATCH("고양시",고양시_재차인원!$B$4:$B$35,0),MATCH($DB$60,고양시_재차인원!$D$4:$H$4,0))</f>
        <v>3.3013670304135112</v>
      </c>
      <c r="DF66" s="267">
        <f>INDEX($AO$60:$BB$74,MATCH($CW66,$L$60:$L$74,0),MATCH(DF$61,$AO$61:$BB$61,0))/INDEX(고양시_재차인원!$D$4:$H$35,MATCH("고양시",고양시_재차인원!$B$4:$B$35,0),MATCH($DF$60,고양시_재차인원!$D$4:$H$4,0))</f>
        <v>2.4716661501301762</v>
      </c>
      <c r="DG66" s="267">
        <f>INDEX($AO$60:$BB$74,MATCH($CW66,$L$60:$L$74,0),MATCH(DG$61,$AO$61:$BB$61,0))/INDEX(고양시_재차인원!$K$4:$O$20,MATCH("경기도",고양시_재차인원!$K$4:$K$20,0),MATCH($DG$61,고양시_재차인원!$K$4:$O$4,0))</f>
        <v>2.3731026186969921E-5</v>
      </c>
      <c r="DH66" s="267">
        <f>INDEX($AO$60:$BB$74,MATCH($CW66,$L$60:$L$74,0),MATCH(DH$61,$AO$61:$BB$61,0))/INDEX(고양시_재차인원!$K$4:$O$20,MATCH("경기도",고양시_재차인원!$K$4:$K$20,0),MATCH($DH$61,고양시_재차인원!$K$4:$O$4,0))</f>
        <v>6.5972252799776383E-3</v>
      </c>
      <c r="DI66" s="267">
        <f>INDEX($AO$60:$BB$74,MATCH($CW66,$L$60:$L$74,0),MATCH(DI$61,$AO$61:$BB$61,0))/INDEX(고양시_재차인원!$D$4:$H$35,MATCH("고양시",고양시_재차인원!$B$4:$B$35,0),MATCH($DF$60,고양시_재차인원!$D$4:$H$4,0))</f>
        <v>0.15871638897284993</v>
      </c>
      <c r="DJ66" s="267">
        <f>INDEX($BC$60:$BP$74,MATCH($CW66,$L$60:$L$74,0),MATCH(DJ$61,$BC$61:$BP$61,0))/INDEX(고양시_재차인원!$D$4:$H$35,MATCH("고양시",고양시_재차인원!$B$4:$B$35,0),MATCH($DJ$60,고양시_재차인원!$D$4:$H$4,0))</f>
        <v>6.4071106583633826E-3</v>
      </c>
      <c r="DK66" s="267">
        <f>INDEX($BC$60:$BP$74,MATCH($CW66,$L$60:$L$74,0),MATCH(DK$61,$BC$61:$BP$61,0))/INDEX(고양시_재차인원!$K$4:$O$20,MATCH("경기도",고양시_재차인원!$K$4:$K$20,0),MATCH($DK$61,고양시_재차인원!$K$4:$O$4,0))</f>
        <v>6.4355325252799932E-8</v>
      </c>
      <c r="DL66" s="267">
        <f>INDEX($BC$60:$BP$74,MATCH($CW66,$L$60:$L$74,0),MATCH(DL$61,$BC$61:$BP$61,0))/INDEX(고양시_재차인원!$K$4:$O$20,MATCH("경기도",고양시_재차인원!$K$4:$K$20,0),MATCH($DL$61,고양시_재차인원!$K$4:$O$4,0))</f>
        <v>1.7890780420278382E-5</v>
      </c>
      <c r="DM66" s="267">
        <f>INDEX($BC$60:$BP$74,MATCH($CW66,$L$60:$L$74,0),MATCH(DM$61,$BC$61:$BP$61,0))/INDEX(고양시_재차인원!$D$4:$H$35,MATCH("고양시",고양시_재차인원!$B$4:$B$35,0),MATCH($DJ$60,고양시_재차인원!$D$4:$H$4,0))</f>
        <v>4.1142832635035975E-4</v>
      </c>
      <c r="DN66" s="267">
        <f>INDEX($BQ$60:$CD$74,MATCH($CW66,$L$60:$L$74,0),MATCH(DN$61,$BQ$61:$CD$61,0))/INDEX(고양시_재차인원!$D$4:$H$35,MATCH("고양시",고양시_재차인원!$B$4:$B$35,0),MATCH($DN$60,고양시_재차인원!$D$4:$H$4,0))</f>
        <v>1.959423259541811E-2</v>
      </c>
      <c r="DO66" s="267">
        <f>INDEX($BQ$60:$CD$74,MATCH($CW66,$L$60:$L$74,0),MATCH(DO$61,$BQ$61:$CD$61,0))/INDEX(고양시_재차인원!$K$4:$O$20,MATCH("경기도",고양시_재차인원!$K$4:$K$20,0),MATCH($DO$61,고양시_재차인원!$K$4:$O$4,0))</f>
        <v>1.8234008821626586E-7</v>
      </c>
      <c r="DP66" s="267">
        <f>INDEX($BQ$60:$CD$74,MATCH($CW66,$L$60:$L$74,0),MATCH(DP$61,$BQ$61:$CD$61,0))/INDEX(고양시_재차인원!$K$4:$O$20,MATCH("경기도",고양시_재차인원!$K$4:$K$20,0),MATCH($DP$61,고양시_재차인원!$K$4:$O$4,0))</f>
        <v>5.0690544524121896E-5</v>
      </c>
      <c r="DQ66" s="267">
        <f>INDEX($BQ$60:$CD$74,MATCH($CW66,$L$60:$L$74,0),MATCH(DQ$61,$BQ$61:$CD$61,0))/INDEX(고양시_재차인원!$D$4:$H$35,MATCH("고양시",고양시_재차인원!$B$4:$B$35,0),MATCH($DN$60,고양시_재차인원!$D$4:$H$4,0))</f>
        <v>1.2582305430185561E-3</v>
      </c>
      <c r="DR66" s="270">
        <f t="shared" si="33"/>
        <v>62.232724071886011</v>
      </c>
      <c r="DS66" s="270">
        <f t="shared" si="26"/>
        <v>6.2820987039897654E-4</v>
      </c>
      <c r="DT66" s="270">
        <f t="shared" si="27"/>
        <v>0.17464234397091544</v>
      </c>
      <c r="DU66" s="270">
        <f t="shared" si="28"/>
        <v>3.9962327598787106</v>
      </c>
      <c r="DW66" s="278" t="s">
        <v>12</v>
      </c>
      <c r="DX66" s="278" t="s">
        <v>12</v>
      </c>
      <c r="DY66" s="281">
        <f t="shared" si="34"/>
        <v>66.228956831764719</v>
      </c>
      <c r="DZ66" s="281">
        <f t="shared" si="35"/>
        <v>0.1752705538413144</v>
      </c>
      <c r="EB66" s="278" t="s">
        <v>12</v>
      </c>
      <c r="EC66" s="278" t="s">
        <v>12</v>
      </c>
      <c r="ED66" s="281">
        <f>DY66</f>
        <v>66.228956831764719</v>
      </c>
      <c r="EE66" s="281">
        <f t="shared" ref="EE66:EE67" si="40">DZ66</f>
        <v>0.1752705538413144</v>
      </c>
      <c r="EK66" s="420" t="s">
        <v>622</v>
      </c>
      <c r="EL66" s="420" t="s">
        <v>620</v>
      </c>
      <c r="EM66" s="420" t="s">
        <v>220</v>
      </c>
      <c r="EN66" s="420">
        <v>31514.0893</v>
      </c>
      <c r="EO66" s="420">
        <v>1</v>
      </c>
      <c r="EP66" s="421">
        <v>849005</v>
      </c>
      <c r="EQ66" s="422">
        <f t="shared" si="37"/>
        <v>597.70382048192016</v>
      </c>
      <c r="ER66" s="422">
        <f t="shared" si="38"/>
        <v>1.5817836284972377</v>
      </c>
      <c r="ES66">
        <v>0</v>
      </c>
      <c r="EU66" s="306" t="s">
        <v>622</v>
      </c>
      <c r="EV66" s="306" t="s">
        <v>200</v>
      </c>
      <c r="EW66" s="306" t="s">
        <v>220</v>
      </c>
      <c r="EX66" s="306">
        <v>31514.0893</v>
      </c>
      <c r="EY66" s="306">
        <v>1</v>
      </c>
      <c r="EZ66" s="307">
        <v>849005</v>
      </c>
      <c r="FA66" s="308">
        <f t="shared" si="39"/>
        <v>597.70382048192016</v>
      </c>
      <c r="FB66" s="308">
        <f t="shared" si="30"/>
        <v>1.5817836284972377</v>
      </c>
      <c r="FD66" s="101"/>
      <c r="FE66" s="101"/>
      <c r="FF66" s="101"/>
      <c r="FG66" s="101"/>
      <c r="FH66" s="101"/>
      <c r="FI66" s="374"/>
      <c r="FJ66" s="404"/>
      <c r="FK66" s="404"/>
    </row>
    <row r="67" spans="1:167" ht="25">
      <c r="A67" s="205" t="s">
        <v>13</v>
      </c>
      <c r="B67" s="205" t="s">
        <v>13</v>
      </c>
      <c r="C67" s="201">
        <f>$L34*KTDB_TripDistribution_2045!L$12</f>
        <v>29.461102319260426</v>
      </c>
      <c r="D67" s="201">
        <f>$L34*KTDB_TripDistribution_2045!M$12</f>
        <v>229.09346039350041</v>
      </c>
      <c r="E67" s="201">
        <f>$L34*KTDB_TripDistribution_2045!N$12</f>
        <v>10.154648524904728</v>
      </c>
      <c r="F67" s="201">
        <f>$L34*KTDB_TripDistribution_2045!O$12</f>
        <v>2.7538029898046785E-2</v>
      </c>
      <c r="G67" s="201">
        <f>$L34*KTDB_TripDistribution_2045!P$12</f>
        <v>7.802441804446561E-2</v>
      </c>
      <c r="H67" s="201">
        <f>$L34*KTDB_TripDistribution_2045!Q$12</f>
        <v>268.81477368560809</v>
      </c>
      <c r="K67" s="206" t="s">
        <v>13</v>
      </c>
      <c r="L67" s="206" t="s">
        <v>13</v>
      </c>
      <c r="M67" s="206">
        <f>INDEX($A$61:$H$74,MATCH($L67,$B$61:$B$74,0),MATCH($M$60,$A$61:$H$61,0))*고양시_Modal_split!C$3 * 0.01</f>
        <v>8.249108649392918E-2</v>
      </c>
      <c r="N67" s="206">
        <f>INDEX($A$61:$H$74,MATCH($L67,$B$61:$B$74,0),MATCH($M$60,$A$61:$H$61,0))*고양시_Modal_split!D$3 * 0.01</f>
        <v>13.855556420748178</v>
      </c>
      <c r="O67" s="206">
        <f>INDEX($A$61:$H$74,MATCH($L67,$B$61:$B$74,0),MATCH($M$60,$A$61:$H$61,0))*고양시_Modal_split!E$3 * 0.01</f>
        <v>1.6763367219659182</v>
      </c>
      <c r="P67" s="206">
        <f>INDEX($A$61:$H$74,MATCH($L67,$B$61:$B$74,0),MATCH($M$60,$A$61:$H$61,0))*고양시_Modal_split!F$3 * 0.01</f>
        <v>2.7015830826761813</v>
      </c>
      <c r="Q67" s="206">
        <f>INDEX($A$61:$H$74,MATCH($L67,$B$61:$B$74,0),MATCH($M$60,$A$61:$H$61,0))*고양시_Modal_split!G$3 * 0.01</f>
        <v>0.2710421413371959</v>
      </c>
      <c r="R67" s="206">
        <f>INDEX($A$61:$H$74,MATCH($L67,$B$61:$B$74,0),MATCH($M$60,$A$61:$H$61,0))*고양시_Modal_split!H$3 * 0.01</f>
        <v>2.9461102319260431E-3</v>
      </c>
      <c r="S67" s="206">
        <f>INDEX($A$61:$H$74,MATCH($L67,$B$61:$B$74,0),MATCH($M$60,$A$61:$H$61,0))*고양시_Modal_split!I$3 * 0.01</f>
        <v>0.81901864447543993</v>
      </c>
      <c r="T67" s="206">
        <f>INDEX($A$61:$H$74,MATCH($L67,$B$61:$B$74,0),MATCH($M$60,$A$61:$H$61,0))*고양시_Modal_split!J$3 * 0.01</f>
        <v>8.9679595459828736</v>
      </c>
      <c r="U67" s="206">
        <f>INDEX($A$61:$H$74,MATCH($L67,$B$61:$B$74,0),MATCH($M$60,$A$61:$H$61,0))*고양시_Modal_split!K$3 * 0.01</f>
        <v>4.419165347889064E-2</v>
      </c>
      <c r="V67" s="206">
        <f>INDEX($A$61:$H$74,MATCH($L67,$B$61:$B$74,0),MATCH($M$60,$A$61:$H$61,0))*고양시_Modal_split!L$3 * 0.01</f>
        <v>0.8897252900416649</v>
      </c>
      <c r="W67" s="206">
        <f>INDEX($A$61:$H$74,MATCH($L67,$B$61:$B$74,0),MATCH($M$60,$A$61:$H$61,0))*고양시_Modal_split!M$3 * 0.01</f>
        <v>6.7760535334298974E-2</v>
      </c>
      <c r="X67" s="206">
        <f>INDEX($A$61:$H$74,MATCH($L67,$B$61:$B$74,0),MATCH($M$60,$A$61:$H$61,0))*고양시_Modal_split!N$3 * 0.01</f>
        <v>2.946110231926043E-2</v>
      </c>
      <c r="Y67" s="206">
        <f>INDEX($A$61:$H$74,MATCH($L67,$B$61:$B$74,0),MATCH($M$60,$A$61:$H$61,0))*고양시_Modal_split!O$3 * 0.01</f>
        <v>5.3029984174668768E-2</v>
      </c>
      <c r="Z67" s="209">
        <f>INDEX($A$61:$H$74,MATCH($L67,$B$61:$B$74,0),MATCH($M$60,$A$61:$H$61,0))*고양시_Modal_split!P$3 * 0.01</f>
        <v>29.461102319260426</v>
      </c>
      <c r="AA67" s="207">
        <f>INDEX($A$61:$H$74,MATCH($L67,$B$61:$B$74,0),MATCH($AA$60,$A$61:$H$61,0))*고양시_Modal_split!C$3 * 0.01</f>
        <v>0.64146168910180112</v>
      </c>
      <c r="AB67" s="207">
        <f>INDEX($A$61:$H$74,MATCH($L67,$B$61:$B$74,0),MATCH($AA$60,$A$61:$H$61,0))*고양시_Modal_split!D$3 * 0.01</f>
        <v>107.74265442306326</v>
      </c>
      <c r="AC67" s="207">
        <f>INDEX($A$61:$H$74,MATCH($L67,$B$61:$B$74,0),MATCH($AA$60,$A$61:$H$61,0))*고양시_Modal_split!E$3 * 0.01</f>
        <v>13.035417896390172</v>
      </c>
      <c r="AD67" s="207">
        <f>INDEX($A$61:$H$74,MATCH($L67,$B$61:$B$74,0),MATCH($AA$60,$A$61:$H$61,0))*고양시_Modal_split!F$3 * 0.01</f>
        <v>21.007870318083988</v>
      </c>
      <c r="AE67" s="207">
        <f>INDEX($A$61:$H$74,MATCH($L67,$B$61:$B$74,0),MATCH($AA$60,$A$61:$H$61,0))*고양시_Modal_split!G$3 * 0.01</f>
        <v>2.1076598356202036</v>
      </c>
      <c r="AF67" s="207">
        <f>INDEX($A$61:$H$74,MATCH($L67,$B$61:$B$74,0),MATCH($AA$60,$A$61:$H$61,0))*고양시_Modal_split!H$3 * 0.01</f>
        <v>2.2909346039350045E-2</v>
      </c>
      <c r="AG67" s="207">
        <f>INDEX($A$61:$H$74,MATCH($L67,$B$61:$B$74,0),MATCH($AA$60,$A$61:$H$61,0))*고양시_Modal_split!I$3 * 0.01</f>
        <v>6.3687981989393112</v>
      </c>
      <c r="AH67" s="207">
        <f>INDEX($A$61:$H$74,MATCH($L67,$B$61:$B$74,0),MATCH($AA$60,$A$61:$H$61,0))*고양시_Modal_split!J$3 * 0.01</f>
        <v>69.736049343781531</v>
      </c>
      <c r="AI67" s="207">
        <f>INDEX($A$61:$H$74,MATCH($L67,$B$61:$B$74,0),MATCH($AA$60,$A$61:$H$61,0))*고양시_Modal_split!K$3 * 0.01</f>
        <v>0.34364019059025064</v>
      </c>
      <c r="AJ67" s="207">
        <f>INDEX($A$61:$H$74,MATCH($L67,$B$61:$B$74,0),MATCH($AA$60,$A$61:$H$61,0))*고양시_Modal_split!L$3 * 0.01</f>
        <v>6.9186225038837117</v>
      </c>
      <c r="AK67" s="207">
        <f>INDEX($A$61:$H$74,MATCH($L67,$B$61:$B$74,0),MATCH($AA$60,$A$61:$H$61,0))*고양시_Modal_split!M$3 * 0.01</f>
        <v>0.52691495890505091</v>
      </c>
      <c r="AL67" s="207">
        <f>INDEX($A$61:$H$74,MATCH($L67,$B$61:$B$74,0),MATCH($AA$60,$A$61:$H$61,0))*고양시_Modal_split!N$3 * 0.01</f>
        <v>0.22909346039350043</v>
      </c>
      <c r="AM67" s="207">
        <f>INDEX($A$61:$H$74,MATCH($L67,$B$61:$B$74,0),MATCH($AA$60,$A$61:$H$61,0))*고양시_Modal_split!O$3 * 0.01</f>
        <v>0.41236822870830075</v>
      </c>
      <c r="AN67" s="207">
        <f>INDEX($A$61:$H$74,MATCH($L67,$B$61:$B$74,0),MATCH($AA$60,$A$61:$H$61,0))*고양시_Modal_split!P$3 * 0.01</f>
        <v>229.09346039350041</v>
      </c>
      <c r="AO67" s="303">
        <f>INDEX($A$61:$H$74,MATCH($L67,$B$61:$B$74,0),MATCH($AO$60,$A$61:$H$61,0))*고양시_Modal_split!C$3 * 0.01</f>
        <v>2.8433015869733236E-2</v>
      </c>
      <c r="AP67" s="303">
        <f>INDEX($A$61:$H$74,MATCH($L67,$B$61:$B$74,0),MATCH($AO$60,$A$61:$H$61,0))*고양시_Modal_split!D$3 * 0.01</f>
        <v>4.775731201262694</v>
      </c>
      <c r="AQ67" s="303">
        <f>INDEX($A$61:$H$74,MATCH($L67,$B$61:$B$74,0),MATCH($AO$60,$A$61:$H$61,0))*고양시_Modal_split!E$3 * 0.01</f>
        <v>0.577799501067079</v>
      </c>
      <c r="AR67" s="303">
        <f>INDEX($A$61:$H$74,MATCH($L67,$B$61:$B$74,0),MATCH($AO$60,$A$61:$H$61,0))*고양시_Modal_split!F$3 * 0.01</f>
        <v>0.93118126973376347</v>
      </c>
      <c r="AS67" s="303">
        <f>INDEX($A$61:$H$74,MATCH($L67,$B$61:$B$74,0),MATCH($AO$60,$A$61:$H$61,0))*고양시_Modal_split!G$3 * 0.01</f>
        <v>9.3422766429123491E-2</v>
      </c>
      <c r="AT67" s="303">
        <f>INDEX($A$61:$H$74,MATCH($L67,$B$61:$B$74,0),MATCH($AO$60,$A$61:$H$61,0))*고양시_Modal_split!H$3 * 0.01</f>
        <v>1.0154648524904727E-3</v>
      </c>
      <c r="AU67" s="303">
        <f>INDEX($A$61:$H$74,MATCH($L67,$B$61:$B$74,0),MATCH($AO$60,$A$61:$H$61,0))*고양시_Modal_split!I$3 * 0.01</f>
        <v>0.28229922899235144</v>
      </c>
      <c r="AV67" s="303">
        <f>INDEX($A$61:$H$74,MATCH($L67,$B$61:$B$74,0),MATCH($AO$60,$A$61:$H$61,0))*고양시_Modal_split!J$3 * 0.01</f>
        <v>3.0910750109809992</v>
      </c>
      <c r="AW67" s="303">
        <f>INDEX($A$61:$H$74,MATCH($L67,$B$61:$B$74,0),MATCH($AO$60,$A$61:$H$61,0))*고양시_Modal_split!K$3 * 0.01</f>
        <v>1.5231972787357091E-2</v>
      </c>
      <c r="AX67" s="303">
        <f>INDEX($A$61:$H$74,MATCH($L67,$B$61:$B$74,0),MATCH($AO$60,$A$61:$H$61,0))*고양시_Modal_split!L$3 * 0.01</f>
        <v>0.30667038545212277</v>
      </c>
      <c r="AY67" s="303">
        <f>INDEX($A$61:$H$74,MATCH($L67,$B$61:$B$74,0),MATCH($AO$60,$A$61:$H$61,0))*고양시_Modal_split!M$3 * 0.01</f>
        <v>2.3355691607280873E-2</v>
      </c>
      <c r="AZ67" s="303">
        <f>INDEX($A$61:$H$74,MATCH($L67,$B$61:$B$74,0),MATCH($AO$60,$A$61:$H$61,0))*고양시_Modal_split!N$3 * 0.01</f>
        <v>1.0154648524904728E-2</v>
      </c>
      <c r="BA67" s="207">
        <f>INDEX($A$61:$H$74,MATCH($L67,$B$61:$B$74,0),MATCH($AO$60,$A$61:$H$61,0))*고양시_Modal_split!O$3 * 0.01</f>
        <v>1.827836734482851E-2</v>
      </c>
      <c r="BB67" s="207">
        <f>INDEX($A$61:$H$74,MATCH($L67,$B$61:$B$74,0),MATCH($AO$60,$A$61:$H$61,0))*고양시_Modal_split!P$3 * 0.01</f>
        <v>10.154648524904728</v>
      </c>
      <c r="BC67" s="207">
        <f>INDEX($A$61:$H$74,MATCH($L67,$B$61:$B$74,0),MATCH($BC$60,$A$61:$H$61,0))*고양시_Modal_split!C$3 * 0.01</f>
        <v>7.7106483714530985E-5</v>
      </c>
      <c r="BD67" s="207">
        <f>INDEX($A$61:$H$74,MATCH($L67,$B$61:$B$74,0),MATCH($BC$60,$A$61:$H$61,0))*고양시_Modal_split!D$3 * 0.01</f>
        <v>1.2951135461051404E-2</v>
      </c>
      <c r="BE67" s="207">
        <f>INDEX($A$61:$H$74,MATCH($L67,$B$61:$B$74,0),MATCH($BC$60,$A$61:$H$61,0))*고양시_Modal_split!E$3 * 0.01</f>
        <v>1.5669139011988619E-3</v>
      </c>
      <c r="BF67" s="207">
        <f>INDEX($A$61:$H$74,MATCH($L67,$B$61:$B$74,0),MATCH($BC$60,$A$61:$H$61,0))*고양시_Modal_split!F$3 * 0.01</f>
        <v>2.5252373416508899E-3</v>
      </c>
      <c r="BG67" s="207">
        <f>INDEX($A$61:$H$74,MATCH($L67,$B$61:$B$74,0),MATCH($BC$60,$A$61:$H$61,0))*고양시_Modal_split!G$3 * 0.01</f>
        <v>2.5334987506203042E-4</v>
      </c>
      <c r="BH67" s="207">
        <f>INDEX($A$61:$H$74,MATCH($L67,$B$61:$B$74,0),MATCH($BC$60,$A$61:$H$61,0))*고양시_Modal_split!H$3 * 0.01</f>
        <v>2.7538029898046787E-6</v>
      </c>
      <c r="BI67" s="207">
        <f>INDEX($A$61:$H$74,MATCH($L67,$B$61:$B$74,0),MATCH($BC$60,$A$61:$H$61,0))*고양시_Modal_split!I$3 * 0.01</f>
        <v>7.6555723116570056E-4</v>
      </c>
      <c r="BJ67" s="207">
        <f>INDEX($A$61:$H$74,MATCH($L67,$B$61:$B$74,0),MATCH($BC$60,$A$61:$H$61,0))*고양시_Modal_split!J$3 * 0.01</f>
        <v>8.3825763009654428E-3</v>
      </c>
      <c r="BK67" s="207">
        <f>INDEX($A$61:$H$74,MATCH($L67,$B$61:$B$74,0),MATCH($BC$60,$A$61:$H$61,0))*고양시_Modal_split!K$3 * 0.01</f>
        <v>4.1307044847070172E-5</v>
      </c>
      <c r="BL67" s="207">
        <f>INDEX($A$61:$H$74,MATCH($L67,$B$61:$B$74,0),MATCH($BC$60,$A$61:$H$61,0))*고양시_Modal_split!L$3 * 0.01</f>
        <v>8.3164850292101293E-4</v>
      </c>
      <c r="BM67" s="207">
        <f>INDEX($A$61:$H$74,MATCH($L67,$B$61:$B$74,0),MATCH($BC$60,$A$61:$H$61,0))*고양시_Modal_split!M$3 * 0.01</f>
        <v>6.3337468765507605E-5</v>
      </c>
      <c r="BN67" s="207">
        <f>INDEX($A$61:$H$74,MATCH($L67,$B$61:$B$74,0),MATCH($BC$60,$A$61:$H$61,0))*고양시_Modal_split!N$3 * 0.01</f>
        <v>2.753802989804679E-5</v>
      </c>
      <c r="BO67" s="207">
        <f>INDEX($A$61:$H$74,MATCH($L67,$B$61:$B$74,0),MATCH($BC$60,$A$61:$H$61,0))*고양시_Modal_split!O$3 * 0.01</f>
        <v>4.9568453816484212E-5</v>
      </c>
      <c r="BP67" s="207">
        <f>INDEX($A$61:$H$74,MATCH($L67,$B$61:$B$74,0),MATCH($BC$60,$A$61:$H$61,0))*고양시_Modal_split!P$3 * 0.01</f>
        <v>2.7538029898046785E-2</v>
      </c>
      <c r="BQ67" s="207">
        <f>INDEX($A$61:$H$74,MATCH($L67,$B$61:$B$74,0),MATCH($BQ$60,$A$61:$H$61,0))*고양시_Modal_split!C$3 * 0.01</f>
        <v>2.1846837052450369E-4</v>
      </c>
      <c r="BR67" s="207">
        <f>INDEX($A$61:$H$74,MATCH($L67,$B$61:$B$74,0),MATCH($BQ$60,$A$61:$H$61,0))*고양시_Modal_split!D$3 * 0.01</f>
        <v>3.6694883806312174E-2</v>
      </c>
      <c r="BS67" s="207">
        <f>INDEX($A$61:$H$74,MATCH($L67,$B$61:$B$74,0),MATCH($BQ$60,$A$61:$H$61,0))*고양시_Modal_split!E$3 * 0.01</f>
        <v>4.4395893867300931E-3</v>
      </c>
      <c r="BT67" s="207">
        <f>INDEX($A$61:$H$74,MATCH($L67,$B$61:$B$74,0),MATCH($BQ$60,$A$61:$H$61,0))*고양시_Modal_split!F$3 * 0.01</f>
        <v>7.1548391346774962E-3</v>
      </c>
      <c r="BU67" s="207">
        <f>INDEX($A$61:$H$74,MATCH($L67,$B$61:$B$74,0),MATCH($BQ$60,$A$61:$H$61,0))*고양시_Modal_split!G$3 * 0.01</f>
        <v>7.1782464600908351E-4</v>
      </c>
      <c r="BV67" s="207">
        <f>INDEX($A$61:$H$74,MATCH($L67,$B$61:$B$74,0),MATCH($BQ$60,$A$61:$H$61,0))*고양시_Modal_split!H$3 * 0.01</f>
        <v>7.8024418044465605E-6</v>
      </c>
      <c r="BW67" s="207">
        <f>INDEX($A$61:$H$74,MATCH($L67,$B$61:$B$74,0),MATCH($BQ$60,$A$61:$H$61,0))*고양시_Modal_split!I$3 * 0.01</f>
        <v>2.1690788216361437E-3</v>
      </c>
      <c r="BX67" s="207">
        <f>INDEX($A$61:$H$74,MATCH($L67,$B$61:$B$74,0),MATCH($BQ$60,$A$61:$H$61,0))*고양시_Modal_split!J$3 * 0.01</f>
        <v>2.3750632852735331E-2</v>
      </c>
      <c r="BY67" s="207">
        <f>INDEX($A$61:$H$74,MATCH($L67,$B$61:$B$74,0),MATCH($BQ$60,$A$61:$H$61,0))*고양시_Modal_split!K$3 * 0.01</f>
        <v>1.1703662706669841E-4</v>
      </c>
      <c r="BZ67" s="207">
        <f>INDEX($A$61:$H$74,MATCH($L67,$B$61:$B$74,0),MATCH($BQ$60,$A$61:$H$61,0))*고양시_Modal_split!L$3 * 0.01</f>
        <v>2.3563374249428617E-3</v>
      </c>
      <c r="CA67" s="207">
        <f>INDEX($A$61:$H$74,MATCH($L67,$B$61:$B$74,0),MATCH($BQ$60,$A$61:$H$61,0))*고양시_Modal_split!M$3 * 0.01</f>
        <v>1.7945616150227088E-4</v>
      </c>
      <c r="CB67" s="207">
        <f>INDEX($A$61:$H$74,MATCH($L67,$B$61:$B$74,0),MATCH($BQ$60,$A$61:$H$61,0))*고양시_Modal_split!N$3 * 0.01</f>
        <v>7.8024418044465618E-5</v>
      </c>
      <c r="CC67" s="207">
        <f>INDEX($A$61:$H$74,MATCH($L67,$B$61:$B$74,0),MATCH($BQ$60,$A$61:$H$61,0))*고양시_Modal_split!O$3 * 0.01</f>
        <v>1.4044395248003809E-4</v>
      </c>
      <c r="CD67" s="207">
        <f>INDEX($A$61:$H$74,MATCH($L67,$B$61:$B$74,0),MATCH($BQ$60,$A$61:$H$61,0))*고양시_Modal_split!P$3 * 0.01</f>
        <v>7.802441804446561E-2</v>
      </c>
      <c r="CE67" s="304">
        <f t="shared" si="31"/>
        <v>0.75268136631970262</v>
      </c>
      <c r="CF67" s="304">
        <f t="shared" si="13"/>
        <v>126.42358806434149</v>
      </c>
      <c r="CG67" s="304">
        <f t="shared" si="14"/>
        <v>15.295560622711095</v>
      </c>
      <c r="CH67" s="304">
        <f t="shared" si="15"/>
        <v>24.65031474697026</v>
      </c>
      <c r="CI67" s="304">
        <f t="shared" si="16"/>
        <v>2.4730959179075942</v>
      </c>
      <c r="CJ67" s="304">
        <f t="shared" si="17"/>
        <v>2.6881477368560808E-2</v>
      </c>
      <c r="CK67" s="304">
        <f t="shared" si="18"/>
        <v>7.4730507084599038</v>
      </c>
      <c r="CL67" s="304">
        <f t="shared" si="19"/>
        <v>81.827217109899109</v>
      </c>
      <c r="CM67" s="304">
        <f t="shared" si="20"/>
        <v>0.40322216052841214</v>
      </c>
      <c r="CN67" s="304">
        <f t="shared" si="21"/>
        <v>8.1182061653053612</v>
      </c>
      <c r="CO67" s="304">
        <f t="shared" si="22"/>
        <v>0.61827397947689855</v>
      </c>
      <c r="CP67" s="304">
        <f t="shared" si="23"/>
        <v>0.26881477368560802</v>
      </c>
      <c r="CQ67" s="304">
        <f t="shared" si="24"/>
        <v>0.48386659263409454</v>
      </c>
      <c r="CR67" s="304">
        <f t="shared" si="25"/>
        <v>268.81477368560809</v>
      </c>
      <c r="CS67" s="305">
        <f t="shared" si="32"/>
        <v>0</v>
      </c>
      <c r="CV67" s="267" t="s">
        <v>13</v>
      </c>
      <c r="CW67" s="267" t="s">
        <v>13</v>
      </c>
      <c r="CX67" s="267">
        <f>INDEX($M$60:$Z$74,MATCH($CW67,$L$60:$L$74,0),MATCH(CX$61,$M$61:$Z$61,0))/INDEX(고양시_재차인원!$D$4:$H$35,MATCH("고양시",고양시_재차인원!$B$4:$B$35,0),MATCH($CX$60,고양시_재차인원!$D$4:$H$4,0))</f>
        <v>12.371032518525157</v>
      </c>
      <c r="CY67" s="267">
        <f>INDEX($M$60:$Z$74,MATCH($CW67,$L$60:$L$74,0),MATCH(CY$61,$M$61:$Z$61,0))/INDEX(고양시_재차인원!$K$4:$O$20,MATCH("경기도",고양시_재차인원!$K$4:$K$20,0),MATCH($CY$61,고양시_재차인원!$K$4:$O$4,0))</f>
        <v>1.0233102577026896E-4</v>
      </c>
      <c r="CZ67" s="267">
        <f>INDEX($M$60:$Z$74,MATCH($CW67,$L$60:$L$74,0),MATCH(CZ$61,$M$61:$Z$61,0))/INDEX(고양시_재차인원!$K$4:$O$20,MATCH("경기도",고양시_재차인원!$K$4:$K$20,0),MATCH($CZ$61,고양시_재차인원!$K$4:$O$4,0))</f>
        <v>2.8448025164134767E-2</v>
      </c>
      <c r="DA67" s="267">
        <f>INDEX($M$60:$Z$74,MATCH($CW67,$L$60:$L$74,0),MATCH(DA$61,$M$61:$Z$61,0))/INDEX(고양시_재차인원!$D$4:$H$35,MATCH("고양시",고양시_재차인원!$B$4:$B$35,0),MATCH($CX$60,고양시_재차인원!$D$4:$H$4,0))</f>
        <v>0.79439758039434361</v>
      </c>
      <c r="DB67" s="267">
        <f>INDEX($AA$60:$AN$74,MATCH($CW67,$L$60:$L$74,0),MATCH(DB$61,$AA$61:$AN$61,0))/INDEX(고양시_재차인원!$D$4:$H$35,MATCH("고양시",고양시_재차인원!$B$4:$B$35,0),MATCH($DB$60,고양시_재차인원!$D$4:$H$4,0))</f>
        <v>76.413230087278905</v>
      </c>
      <c r="DC67" s="267">
        <f>INDEX($AA$60:$AN$74,MATCH($CW67,$L$60:$L$74,0),MATCH(DC$61,$AA$61:$AN$61,0))/INDEX(고양시_재차인원!$K$4:$O$20,MATCH("경기도",고양시_재차인원!$K$4:$K$20,0),MATCH($DC$61,고양시_재차인원!$K$4:$O$4,0))</f>
        <v>7.9573970265196402E-4</v>
      </c>
      <c r="DD67" s="267">
        <f>INDEX($AA$60:$AN$74,MATCH($CW67,$L$60:$L$74,0),MATCH(DD$61,$AA$61:$AN$61,0))/INDEX(고양시_재차인원!$K$4:$O$20,MATCH("경기도",고양시_재차인원!$K$4:$K$20,0),MATCH($DD$61,고양시_재차인원!$K$4:$O$4,0))</f>
        <v>0.22121563733724597</v>
      </c>
      <c r="DE67" s="267">
        <f>INDEX($AA$60:$AN$74,MATCH($CW67,$L$60:$L$74,0),MATCH(DE$61,$AA$61:$AN$61,0))/INDEX(고양시_재차인원!$D$4:$H$35,MATCH("고양시",고양시_재차인원!$B$4:$B$35,0),MATCH($DB$60,고양시_재차인원!$D$4:$H$4,0))</f>
        <v>4.9068244708395117</v>
      </c>
      <c r="DF67" s="267">
        <f>INDEX($AO$60:$BB$74,MATCH($CW67,$L$60:$L$74,0),MATCH(DF$61,$AO$61:$BB$61,0))/INDEX(고양시_재차인원!$D$4:$H$35,MATCH("고양시",고양시_재차인원!$B$4:$B$35,0),MATCH($DF$60,고양시_재차인원!$D$4:$H$4,0))</f>
        <v>3.6736393855866876</v>
      </c>
      <c r="DG67" s="267">
        <f>INDEX($AO$60:$BB$74,MATCH($CW67,$L$60:$L$74,0),MATCH(DG$61,$AO$61:$BB$61,0))/INDEX(고양시_재차인원!$K$4:$O$20,MATCH("경기도",고양시_재차인원!$K$4:$K$20,0),MATCH($DG$61,고양시_재차인원!$K$4:$O$4,0))</f>
        <v>3.5271443295952512E-5</v>
      </c>
      <c r="DH67" s="267">
        <f>INDEX($AO$60:$BB$74,MATCH($CW67,$L$60:$L$74,0),MATCH(DH$61,$AO$61:$BB$61,0))/INDEX(고양시_재차인원!$K$4:$O$20,MATCH("경기도",고양시_재차인원!$K$4:$K$20,0),MATCH($DH$61,고양시_재차인원!$K$4:$O$4,0))</f>
        <v>9.805461236274798E-3</v>
      </c>
      <c r="DI67" s="267">
        <f>INDEX($AO$60:$BB$74,MATCH($CW67,$L$60:$L$74,0),MATCH(DI$61,$AO$61:$BB$61,0))/INDEX(고양시_재차인원!$D$4:$H$35,MATCH("고양시",고양시_재차인원!$B$4:$B$35,0),MATCH($DF$60,고양시_재차인원!$D$4:$H$4,0))</f>
        <v>0.23590029650163288</v>
      </c>
      <c r="DJ67" s="267">
        <f>INDEX($BC$60:$BP$74,MATCH($CW67,$L$60:$L$74,0),MATCH(DJ$61,$BC$61:$BP$61,0))/INDEX(고양시_재차인원!$D$4:$H$35,MATCH("고양시",고양시_재차인원!$B$4:$B$35,0),MATCH($DJ$60,고양시_재차인원!$D$4:$H$4,0))</f>
        <v>9.5228937213613259E-3</v>
      </c>
      <c r="DK67" s="267">
        <f>INDEX($BC$60:$BP$74,MATCH($CW67,$L$60:$L$74,0),MATCH(DK$61,$BC$61:$BP$61,0))/INDEX(고양시_재차인원!$K$4:$O$20,MATCH("경기도",고양시_재차인원!$K$4:$K$20,0),MATCH($DK$61,고양시_재차인원!$K$4:$O$4,0))</f>
        <v>9.565137165004094E-8</v>
      </c>
      <c r="DL67" s="267">
        <f>INDEX($BC$60:$BP$74,MATCH($CW67,$L$60:$L$74,0),MATCH(DL$61,$BC$61:$BP$61,0))/INDEX(고양시_재차인원!$K$4:$O$20,MATCH("경기도",고양시_재차인원!$K$4:$K$20,0),MATCH($DL$61,고양시_재차인원!$K$4:$O$4,0))</f>
        <v>2.6591081318711378E-5</v>
      </c>
      <c r="DM67" s="267">
        <f>INDEX($BC$60:$BP$74,MATCH($CW67,$L$60:$L$74,0),MATCH(DM$61,$BC$61:$BP$61,0))/INDEX(고양시_재차인원!$D$4:$H$35,MATCH("고양시",고양시_재차인원!$B$4:$B$35,0),MATCH($DJ$60,고양시_재차인원!$D$4:$H$4,0))</f>
        <v>6.1150625214780356E-4</v>
      </c>
      <c r="DN67" s="267">
        <f>INDEX($BQ$60:$CD$74,MATCH($CW67,$L$60:$L$74,0),MATCH(DN$61,$BQ$61:$CD$61,0))/INDEX(고양시_재차인원!$D$4:$H$35,MATCH("고양시",고양시_재차인원!$B$4:$B$35,0),MATCH($DN$60,고양시_재차인원!$D$4:$H$4,0))</f>
        <v>2.9122923655803313E-2</v>
      </c>
      <c r="DO67" s="267">
        <f>INDEX($BQ$60:$CD$74,MATCH($CW67,$L$60:$L$74,0),MATCH(DO$61,$BQ$61:$CD$61,0))/INDEX(고양시_재차인원!$K$4:$O$20,MATCH("경기도",고양시_재차인원!$K$4:$K$20,0),MATCH($DO$61,고양시_재차인원!$K$4:$O$4,0))</f>
        <v>2.71012219675115E-7</v>
      </c>
      <c r="DP67" s="267">
        <f>INDEX($BQ$60:$CD$74,MATCH($CW67,$L$60:$L$74,0),MATCH(DP$61,$BQ$61:$CD$61,0))/INDEX(고양시_재차인원!$K$4:$O$20,MATCH("경기도",고양시_재차인원!$K$4:$K$20,0),MATCH($DP$61,고양시_재차인원!$K$4:$O$4,0))</f>
        <v>7.5341397069681967E-5</v>
      </c>
      <c r="DQ67" s="267">
        <f>INDEX($BQ$60:$CD$74,MATCH($CW67,$L$60:$L$74,0),MATCH(DQ$61,$BQ$61:$CD$61,0))/INDEX(고양시_재차인원!$D$4:$H$35,MATCH("고양시",고양시_재차인원!$B$4:$B$35,0),MATCH($DN$60,고양시_재차인원!$D$4:$H$4,0))</f>
        <v>1.8701090674149697E-3</v>
      </c>
      <c r="DR67" s="270">
        <f t="shared" si="33"/>
        <v>92.496547808767914</v>
      </c>
      <c r="DS67" s="270">
        <f t="shared" si="26"/>
        <v>9.3370883530951058E-4</v>
      </c>
      <c r="DT67" s="270">
        <f t="shared" si="27"/>
        <v>0.25957105621604393</v>
      </c>
      <c r="DU67" s="270">
        <f t="shared" si="28"/>
        <v>5.9396039630550508</v>
      </c>
      <c r="DW67" s="278" t="s">
        <v>13</v>
      </c>
      <c r="DX67" s="278" t="s">
        <v>13</v>
      </c>
      <c r="DY67" s="281">
        <f t="shared" ref="DY67:DY73" si="41">DR67+DU67</f>
        <v>98.436151771822963</v>
      </c>
      <c r="DZ67" s="281">
        <f t="shared" ref="DZ67:DZ73" si="42">DS67+DT67</f>
        <v>0.26050476505135345</v>
      </c>
      <c r="EB67" s="278" t="s">
        <v>13</v>
      </c>
      <c r="EC67" s="278" t="s">
        <v>13</v>
      </c>
      <c r="ED67" s="281">
        <f t="shared" ref="ED67" si="43">DY67</f>
        <v>98.436151771822963</v>
      </c>
      <c r="EE67" s="281">
        <f t="shared" si="40"/>
        <v>0.26050476505135345</v>
      </c>
      <c r="EK67" s="420" t="s">
        <v>622</v>
      </c>
      <c r="EL67" s="420" t="s">
        <v>621</v>
      </c>
      <c r="EM67" s="420" t="s">
        <v>221</v>
      </c>
      <c r="EN67" s="420">
        <v>32098.9882</v>
      </c>
      <c r="EO67" s="420">
        <v>1</v>
      </c>
      <c r="EP67" s="421">
        <v>849006</v>
      </c>
      <c r="EQ67" s="422">
        <f t="shared" si="37"/>
        <v>609.37614255036408</v>
      </c>
      <c r="ER67" s="422">
        <f t="shared" si="38"/>
        <v>1.6126736568385744</v>
      </c>
      <c r="ES67">
        <v>0</v>
      </c>
      <c r="EU67" s="306" t="s">
        <v>622</v>
      </c>
      <c r="EV67" s="306" t="s">
        <v>201</v>
      </c>
      <c r="EW67" s="306" t="s">
        <v>221</v>
      </c>
      <c r="EX67" s="306">
        <v>32098.9882</v>
      </c>
      <c r="EY67" s="306">
        <v>1</v>
      </c>
      <c r="EZ67" s="307">
        <v>849006</v>
      </c>
      <c r="FA67" s="308">
        <f t="shared" si="39"/>
        <v>609.37614255036408</v>
      </c>
      <c r="FB67" s="308">
        <f t="shared" si="30"/>
        <v>1.6126736568385744</v>
      </c>
      <c r="FD67" s="101"/>
      <c r="FE67" s="101"/>
      <c r="FF67" s="101"/>
      <c r="FG67" s="101"/>
      <c r="FH67" s="101"/>
      <c r="FI67" s="374"/>
      <c r="FJ67" s="404"/>
      <c r="FK67" s="404"/>
    </row>
    <row r="68" spans="1:167">
      <c r="A68" s="205" t="s">
        <v>167</v>
      </c>
      <c r="B68" s="205" t="s">
        <v>167</v>
      </c>
      <c r="C68" s="201">
        <f>$L35*KTDB_TripDistribution_2045!L$12</f>
        <v>122.13154080349858</v>
      </c>
      <c r="D68" s="201">
        <f>$L35*KTDB_TripDistribution_2045!M$12</f>
        <v>949.71114803031799</v>
      </c>
      <c r="E68" s="201">
        <f>$L35*KTDB_TripDistribution_2045!N$12</f>
        <v>42.096281979707058</v>
      </c>
      <c r="F68" s="201">
        <f>$L35*KTDB_TripDistribution_2045!O$12</f>
        <v>0.11415940875852788</v>
      </c>
      <c r="G68" s="201">
        <f>$L35*KTDB_TripDistribution_2045!P$12</f>
        <v>0.32345165814916121</v>
      </c>
      <c r="H68" s="201">
        <f>$L35*KTDB_TripDistribution_2045!Q$12</f>
        <v>1114.3765818804313</v>
      </c>
      <c r="I68" s="56"/>
      <c r="J68" s="56"/>
      <c r="K68" s="206" t="s">
        <v>167</v>
      </c>
      <c r="L68" s="206" t="s">
        <v>167</v>
      </c>
      <c r="M68" s="206">
        <f>INDEX($A$61:$H$74,MATCH($L68,$B$61:$B$74,0),MATCH($M$60,$A$61:$H$61,0))*고양시_Modal_split!C$3 * 0.01</f>
        <v>0.34196831424979601</v>
      </c>
      <c r="N68" s="206">
        <f>INDEX($A$61:$H$74,MATCH($L68,$B$61:$B$74,0),MATCH($M$60,$A$61:$H$61,0))*고양시_Modal_split!D$3 * 0.01</f>
        <v>57.438463639885384</v>
      </c>
      <c r="O68" s="206">
        <f>INDEX($A$61:$H$74,MATCH($L68,$B$61:$B$74,0),MATCH($M$60,$A$61:$H$61,0))*고양시_Modal_split!E$3 * 0.01</f>
        <v>6.9492846717190684</v>
      </c>
      <c r="P68" s="206">
        <f>INDEX($A$61:$H$74,MATCH($L68,$B$61:$B$74,0),MATCH($M$60,$A$61:$H$61,0))*고양시_Modal_split!F$3 * 0.01</f>
        <v>11.19946229168082</v>
      </c>
      <c r="Q68" s="206">
        <f>INDEX($A$61:$H$74,MATCH($L68,$B$61:$B$74,0),MATCH($M$60,$A$61:$H$61,0))*고양시_Modal_split!G$3 * 0.01</f>
        <v>1.1236101753921868</v>
      </c>
      <c r="R68" s="206">
        <f>INDEX($A$61:$H$74,MATCH($L68,$B$61:$B$74,0),MATCH($M$60,$A$61:$H$61,0))*고양시_Modal_split!H$3 * 0.01</f>
        <v>1.2213154080349857E-2</v>
      </c>
      <c r="S68" s="206">
        <f>INDEX($A$61:$H$74,MATCH($L68,$B$61:$B$74,0),MATCH($M$60,$A$61:$H$61,0))*고양시_Modal_split!I$3 * 0.01</f>
        <v>3.3952568343372604</v>
      </c>
      <c r="T68" s="206">
        <f>INDEX($A$61:$H$74,MATCH($L68,$B$61:$B$74,0),MATCH($M$60,$A$61:$H$61,0))*고양시_Modal_split!J$3 * 0.01</f>
        <v>37.176841020584973</v>
      </c>
      <c r="U68" s="206">
        <f>INDEX($A$61:$H$74,MATCH($L68,$B$61:$B$74,0),MATCH($M$60,$A$61:$H$61,0))*고양시_Modal_split!K$3 * 0.01</f>
        <v>0.18319731120524785</v>
      </c>
      <c r="V68" s="206">
        <f>INDEX($A$61:$H$74,MATCH($L68,$B$61:$B$74,0),MATCH($M$60,$A$61:$H$61,0))*고양시_Modal_split!L$3 * 0.01</f>
        <v>3.6883725322656575</v>
      </c>
      <c r="W68" s="206">
        <f>INDEX($A$61:$H$74,MATCH($L68,$B$61:$B$74,0),MATCH($M$60,$A$61:$H$61,0))*고양시_Modal_split!M$3 * 0.01</f>
        <v>0.28090254384804669</v>
      </c>
      <c r="X68" s="206">
        <f>INDEX($A$61:$H$74,MATCH($L68,$B$61:$B$74,0),MATCH($M$60,$A$61:$H$61,0))*고양시_Modal_split!N$3 * 0.01</f>
        <v>0.1221315408034986</v>
      </c>
      <c r="Y68" s="206">
        <f>INDEX($A$61:$H$74,MATCH($L68,$B$61:$B$74,0),MATCH($M$60,$A$61:$H$61,0))*고양시_Modal_split!O$3 * 0.01</f>
        <v>0.21983677344629743</v>
      </c>
      <c r="Z68" s="209">
        <f>INDEX($A$61:$H$74,MATCH($L68,$B$61:$B$74,0),MATCH($M$60,$A$61:$H$61,0))*고양시_Modal_split!P$3 * 0.01</f>
        <v>122.13154080349858</v>
      </c>
      <c r="AA68" s="207">
        <f>INDEX($A$61:$H$74,MATCH($L68,$B$61:$B$74,0),MATCH($AA$60,$A$61:$H$61,0))*고양시_Modal_split!C$3 * 0.01</f>
        <v>2.6591912144848902</v>
      </c>
      <c r="AB68" s="207">
        <f>INDEX($A$61:$H$74,MATCH($L68,$B$61:$B$74,0),MATCH($AA$60,$A$61:$H$61,0))*고양시_Modal_split!D$3 * 0.01</f>
        <v>446.64915291865861</v>
      </c>
      <c r="AC68" s="207">
        <f>INDEX($A$61:$H$74,MATCH($L68,$B$61:$B$74,0),MATCH($AA$60,$A$61:$H$61,0))*고양시_Modal_split!E$3 * 0.01</f>
        <v>54.038564322925083</v>
      </c>
      <c r="AD68" s="207">
        <f>INDEX($A$61:$H$74,MATCH($L68,$B$61:$B$74,0),MATCH($AA$60,$A$61:$H$61,0))*고양시_Modal_split!F$3 * 0.01</f>
        <v>87.08851227438015</v>
      </c>
      <c r="AE68" s="207">
        <f>INDEX($A$61:$H$74,MATCH($L68,$B$61:$B$74,0),MATCH($AA$60,$A$61:$H$61,0))*고양시_Modal_split!G$3 * 0.01</f>
        <v>8.7373425618789256</v>
      </c>
      <c r="AF68" s="207">
        <f>INDEX($A$61:$H$74,MATCH($L68,$B$61:$B$74,0),MATCH($AA$60,$A$61:$H$61,0))*고양시_Modal_split!H$3 * 0.01</f>
        <v>9.4971114803031803E-2</v>
      </c>
      <c r="AG68" s="207">
        <f>INDEX($A$61:$H$74,MATCH($L68,$B$61:$B$74,0),MATCH($AA$60,$A$61:$H$61,0))*고양시_Modal_split!I$3 * 0.01</f>
        <v>26.401969915242841</v>
      </c>
      <c r="AH68" s="207">
        <f>INDEX($A$61:$H$74,MATCH($L68,$B$61:$B$74,0),MATCH($AA$60,$A$61:$H$61,0))*고양시_Modal_split!J$3 * 0.01</f>
        <v>289.09207346042882</v>
      </c>
      <c r="AI68" s="207">
        <f>INDEX($A$61:$H$74,MATCH($L68,$B$61:$B$74,0),MATCH($AA$60,$A$61:$H$61,0))*고양시_Modal_split!K$3 * 0.01</f>
        <v>1.424566722045477</v>
      </c>
      <c r="AJ68" s="207">
        <f>INDEX($A$61:$H$74,MATCH($L68,$B$61:$B$74,0),MATCH($AA$60,$A$61:$H$61,0))*고양시_Modal_split!L$3 * 0.01</f>
        <v>28.681276670515604</v>
      </c>
      <c r="AK68" s="207">
        <f>INDEX($A$61:$H$74,MATCH($L68,$B$61:$B$74,0),MATCH($AA$60,$A$61:$H$61,0))*고양시_Modal_split!M$3 * 0.01</f>
        <v>2.1843356404697314</v>
      </c>
      <c r="AL68" s="207">
        <f>INDEX($A$61:$H$74,MATCH($L68,$B$61:$B$74,0),MATCH($AA$60,$A$61:$H$61,0))*고양시_Modal_split!N$3 * 0.01</f>
        <v>0.94971114803031809</v>
      </c>
      <c r="AM68" s="207">
        <f>INDEX($A$61:$H$74,MATCH($L68,$B$61:$B$74,0),MATCH($AA$60,$A$61:$H$61,0))*고양시_Modal_split!O$3 * 0.01</f>
        <v>1.7094800664545724</v>
      </c>
      <c r="AN68" s="207">
        <f>INDEX($A$61:$H$74,MATCH($L68,$B$61:$B$74,0),MATCH($AA$60,$A$61:$H$61,0))*고양시_Modal_split!P$3 * 0.01</f>
        <v>949.71114803031799</v>
      </c>
      <c r="AO68" s="303">
        <f>INDEX($A$61:$H$74,MATCH($L68,$B$61:$B$74,0),MATCH($AO$60,$A$61:$H$61,0))*고양시_Modal_split!C$3 * 0.01</f>
        <v>0.11786958954317975</v>
      </c>
      <c r="AP68" s="303">
        <f>INDEX($A$61:$H$74,MATCH($L68,$B$61:$B$74,0),MATCH($AO$60,$A$61:$H$61,0))*고양시_Modal_split!D$3 * 0.01</f>
        <v>19.797881415056228</v>
      </c>
      <c r="AQ68" s="303">
        <f>INDEX($A$61:$H$74,MATCH($L68,$B$61:$B$74,0),MATCH($AO$60,$A$61:$H$61,0))*고양시_Modal_split!E$3 * 0.01</f>
        <v>2.3952784446453315</v>
      </c>
      <c r="AR68" s="303">
        <f>INDEX($A$61:$H$74,MATCH($L68,$B$61:$B$74,0),MATCH($AO$60,$A$61:$H$61,0))*고양시_Modal_split!F$3 * 0.01</f>
        <v>3.8602290575391374</v>
      </c>
      <c r="AS68" s="303">
        <f>INDEX($A$61:$H$74,MATCH($L68,$B$61:$B$74,0),MATCH($AO$60,$A$61:$H$61,0))*고양시_Modal_split!G$3 * 0.01</f>
        <v>0.38728579421330489</v>
      </c>
      <c r="AT68" s="303">
        <f>INDEX($A$61:$H$74,MATCH($L68,$B$61:$B$74,0),MATCH($AO$60,$A$61:$H$61,0))*고양시_Modal_split!H$3 * 0.01</f>
        <v>4.2096281979707058E-3</v>
      </c>
      <c r="AU68" s="303">
        <f>INDEX($A$61:$H$74,MATCH($L68,$B$61:$B$74,0),MATCH($AO$60,$A$61:$H$61,0))*고양시_Modal_split!I$3 * 0.01</f>
        <v>1.1702766390358563</v>
      </c>
      <c r="AV68" s="303">
        <f>INDEX($A$61:$H$74,MATCH($L68,$B$61:$B$74,0),MATCH($AO$60,$A$61:$H$61,0))*고양시_Modal_split!J$3 * 0.01</f>
        <v>12.814108234622829</v>
      </c>
      <c r="AW68" s="303">
        <f>INDEX($A$61:$H$74,MATCH($L68,$B$61:$B$74,0),MATCH($AO$60,$A$61:$H$61,0))*고양시_Modal_split!K$3 * 0.01</f>
        <v>6.314442296956059E-2</v>
      </c>
      <c r="AX68" s="303">
        <f>INDEX($A$61:$H$74,MATCH($L68,$B$61:$B$74,0),MATCH($AO$60,$A$61:$H$61,0))*고양시_Modal_split!L$3 * 0.01</f>
        <v>1.2713077157871531</v>
      </c>
      <c r="AY68" s="303">
        <f>INDEX($A$61:$H$74,MATCH($L68,$B$61:$B$74,0),MATCH($AO$60,$A$61:$H$61,0))*고양시_Modal_split!M$3 * 0.01</f>
        <v>9.6821448553326223E-2</v>
      </c>
      <c r="AZ68" s="303">
        <f>INDEX($A$61:$H$74,MATCH($L68,$B$61:$B$74,0),MATCH($AO$60,$A$61:$H$61,0))*고양시_Modal_split!N$3 * 0.01</f>
        <v>4.2096281979707058E-2</v>
      </c>
      <c r="BA68" s="207">
        <f>INDEX($A$61:$H$74,MATCH($L68,$B$61:$B$74,0),MATCH($AO$60,$A$61:$H$61,0))*고양시_Modal_split!O$3 * 0.01</f>
        <v>7.5773307563472697E-2</v>
      </c>
      <c r="BB68" s="207">
        <f>INDEX($A$61:$H$74,MATCH($L68,$B$61:$B$74,0),MATCH($AO$60,$A$61:$H$61,0))*고양시_Modal_split!P$3 * 0.01</f>
        <v>42.096281979707058</v>
      </c>
      <c r="BC68" s="207">
        <f>INDEX($A$61:$H$74,MATCH($L68,$B$61:$B$74,0),MATCH($BC$60,$A$61:$H$61,0))*고양시_Modal_split!C$3 * 0.01</f>
        <v>3.1964634452387805E-4</v>
      </c>
      <c r="BD68" s="207">
        <f>INDEX($A$61:$H$74,MATCH($L68,$B$61:$B$74,0),MATCH($BC$60,$A$61:$H$61,0))*고양시_Modal_split!D$3 * 0.01</f>
        <v>5.368916993913566E-2</v>
      </c>
      <c r="BE68" s="207">
        <f>INDEX($A$61:$H$74,MATCH($L68,$B$61:$B$74,0),MATCH($BC$60,$A$61:$H$61,0))*고양시_Modal_split!E$3 * 0.01</f>
        <v>6.4956703583602358E-3</v>
      </c>
      <c r="BF68" s="207">
        <f>INDEX($A$61:$H$74,MATCH($L68,$B$61:$B$74,0),MATCH($BC$60,$A$61:$H$61,0))*고양시_Modal_split!F$3 * 0.01</f>
        <v>1.0468417783157007E-2</v>
      </c>
      <c r="BG68" s="207">
        <f>INDEX($A$61:$H$74,MATCH($L68,$B$61:$B$74,0),MATCH($BC$60,$A$61:$H$61,0))*고양시_Modal_split!G$3 * 0.01</f>
        <v>1.0502665605784565E-3</v>
      </c>
      <c r="BH68" s="207">
        <f>INDEX($A$61:$H$74,MATCH($L68,$B$61:$B$74,0),MATCH($BC$60,$A$61:$H$61,0))*고양시_Modal_split!H$3 * 0.01</f>
        <v>1.1415940875852787E-5</v>
      </c>
      <c r="BI68" s="207">
        <f>INDEX($A$61:$H$74,MATCH($L68,$B$61:$B$74,0),MATCH($BC$60,$A$61:$H$61,0))*고양시_Modal_split!I$3 * 0.01</f>
        <v>3.1736315634870748E-3</v>
      </c>
      <c r="BJ68" s="207">
        <f>INDEX($A$61:$H$74,MATCH($L68,$B$61:$B$74,0),MATCH($BC$60,$A$61:$H$61,0))*고양시_Modal_split!J$3 * 0.01</f>
        <v>3.475012402609589E-2</v>
      </c>
      <c r="BK68" s="207">
        <f>INDEX($A$61:$H$74,MATCH($L68,$B$61:$B$74,0),MATCH($BC$60,$A$61:$H$61,0))*고양시_Modal_split!K$3 * 0.01</f>
        <v>1.7123911313779181E-4</v>
      </c>
      <c r="BL68" s="207">
        <f>INDEX($A$61:$H$74,MATCH($L68,$B$61:$B$74,0),MATCH($BC$60,$A$61:$H$61,0))*고양시_Modal_split!L$3 * 0.01</f>
        <v>3.4476141445075421E-3</v>
      </c>
      <c r="BM68" s="207">
        <f>INDEX($A$61:$H$74,MATCH($L68,$B$61:$B$74,0),MATCH($BC$60,$A$61:$H$61,0))*고양시_Modal_split!M$3 * 0.01</f>
        <v>2.6256664014461412E-4</v>
      </c>
      <c r="BN68" s="207">
        <f>INDEX($A$61:$H$74,MATCH($L68,$B$61:$B$74,0),MATCH($BC$60,$A$61:$H$61,0))*고양시_Modal_split!N$3 * 0.01</f>
        <v>1.141594087585279E-4</v>
      </c>
      <c r="BO68" s="207">
        <f>INDEX($A$61:$H$74,MATCH($L68,$B$61:$B$74,0),MATCH($BC$60,$A$61:$H$61,0))*고양시_Modal_split!O$3 * 0.01</f>
        <v>2.0548693576535017E-4</v>
      </c>
      <c r="BP68" s="207">
        <f>INDEX($A$61:$H$74,MATCH($L68,$B$61:$B$74,0),MATCH($BC$60,$A$61:$H$61,0))*고양시_Modal_split!P$3 * 0.01</f>
        <v>0.11415940875852788</v>
      </c>
      <c r="BQ68" s="207">
        <f>INDEX($A$61:$H$74,MATCH($L68,$B$61:$B$74,0),MATCH($BQ$60,$A$61:$H$61,0))*고양시_Modal_split!C$3 * 0.01</f>
        <v>9.0566464281765125E-4</v>
      </c>
      <c r="BR68" s="207">
        <f>INDEX($A$61:$H$74,MATCH($L68,$B$61:$B$74,0),MATCH($BQ$60,$A$61:$H$61,0))*고양시_Modal_split!D$3 * 0.01</f>
        <v>0.15211931482755053</v>
      </c>
      <c r="BS68" s="207">
        <f>INDEX($A$61:$H$74,MATCH($L68,$B$61:$B$74,0),MATCH($BQ$60,$A$61:$H$61,0))*고양시_Modal_split!E$3 * 0.01</f>
        <v>1.8404399348687272E-2</v>
      </c>
      <c r="BT68" s="207">
        <f>INDEX($A$61:$H$74,MATCH($L68,$B$61:$B$74,0),MATCH($BQ$60,$A$61:$H$61,0))*고양시_Modal_split!F$3 * 0.01</f>
        <v>2.9660517052278085E-2</v>
      </c>
      <c r="BU68" s="207">
        <f>INDEX($A$61:$H$74,MATCH($L68,$B$61:$B$74,0),MATCH($BQ$60,$A$61:$H$61,0))*고양시_Modal_split!G$3 * 0.01</f>
        <v>2.9757552549722834E-3</v>
      </c>
      <c r="BV68" s="207">
        <f>INDEX($A$61:$H$74,MATCH($L68,$B$61:$B$74,0),MATCH($BQ$60,$A$61:$H$61,0))*고양시_Modal_split!H$3 * 0.01</f>
        <v>3.2345165814916122E-5</v>
      </c>
      <c r="BW68" s="207">
        <f>INDEX($A$61:$H$74,MATCH($L68,$B$61:$B$74,0),MATCH($BQ$60,$A$61:$H$61,0))*고양시_Modal_split!I$3 * 0.01</f>
        <v>8.991956096546681E-3</v>
      </c>
      <c r="BX68" s="207">
        <f>INDEX($A$61:$H$74,MATCH($L68,$B$61:$B$74,0),MATCH($BQ$60,$A$61:$H$61,0))*고양시_Modal_split!J$3 * 0.01</f>
        <v>9.8458684740604693E-2</v>
      </c>
      <c r="BY68" s="207">
        <f>INDEX($A$61:$H$74,MATCH($L68,$B$61:$B$74,0),MATCH($BQ$60,$A$61:$H$61,0))*고양시_Modal_split!K$3 * 0.01</f>
        <v>4.8517748722374181E-4</v>
      </c>
      <c r="BZ68" s="207">
        <f>INDEX($A$61:$H$74,MATCH($L68,$B$61:$B$74,0),MATCH($BQ$60,$A$61:$H$61,0))*고양시_Modal_split!L$3 * 0.01</f>
        <v>9.7682400761046687E-3</v>
      </c>
      <c r="CA68" s="207">
        <f>INDEX($A$61:$H$74,MATCH($L68,$B$61:$B$74,0),MATCH($BQ$60,$A$61:$H$61,0))*고양시_Modal_split!M$3 * 0.01</f>
        <v>7.4393881374307084E-4</v>
      </c>
      <c r="CB68" s="207">
        <f>INDEX($A$61:$H$74,MATCH($L68,$B$61:$B$74,0),MATCH($BQ$60,$A$61:$H$61,0))*고양시_Modal_split!N$3 * 0.01</f>
        <v>3.2345165814916125E-4</v>
      </c>
      <c r="CC68" s="207">
        <f>INDEX($A$61:$H$74,MATCH($L68,$B$61:$B$74,0),MATCH($BQ$60,$A$61:$H$61,0))*고양시_Modal_split!O$3 * 0.01</f>
        <v>5.8221298466849022E-4</v>
      </c>
      <c r="CD68" s="207">
        <f>INDEX($A$61:$H$74,MATCH($L68,$B$61:$B$74,0),MATCH($BQ$60,$A$61:$H$61,0))*고양시_Modal_split!P$3 * 0.01</f>
        <v>0.32345165814916121</v>
      </c>
      <c r="CE68" s="304">
        <f t="shared" si="31"/>
        <v>3.1202544292652075</v>
      </c>
      <c r="CF68" s="304">
        <f t="shared" si="13"/>
        <v>524.09130645836706</v>
      </c>
      <c r="CG68" s="304">
        <f t="shared" si="14"/>
        <v>63.408027508996533</v>
      </c>
      <c r="CH68" s="304">
        <f t="shared" si="15"/>
        <v>102.18833255843555</v>
      </c>
      <c r="CI68" s="304">
        <f t="shared" si="16"/>
        <v>10.25226455329997</v>
      </c>
      <c r="CJ68" s="304">
        <f t="shared" si="17"/>
        <v>0.11143765818804313</v>
      </c>
      <c r="CK68" s="304">
        <f t="shared" si="18"/>
        <v>30.979668976275992</v>
      </c>
      <c r="CL68" s="304">
        <f t="shared" si="19"/>
        <v>339.21623152440333</v>
      </c>
      <c r="CM68" s="304">
        <f t="shared" si="20"/>
        <v>1.6715648728206469</v>
      </c>
      <c r="CN68" s="304">
        <f t="shared" si="21"/>
        <v>33.654172772789025</v>
      </c>
      <c r="CO68" s="304">
        <f t="shared" si="22"/>
        <v>2.5630661383249924</v>
      </c>
      <c r="CP68" s="304">
        <f t="shared" si="23"/>
        <v>1.1143765818804314</v>
      </c>
      <c r="CQ68" s="304">
        <f t="shared" si="24"/>
        <v>2.0058778473847765</v>
      </c>
      <c r="CR68" s="304">
        <f t="shared" si="25"/>
        <v>1114.3765818804313</v>
      </c>
      <c r="CS68" s="305">
        <f t="shared" si="32"/>
        <v>0</v>
      </c>
      <c r="CV68" s="267" t="s">
        <v>167</v>
      </c>
      <c r="CW68" s="267" t="s">
        <v>167</v>
      </c>
      <c r="CX68" s="267">
        <f>INDEX($M$60:$Z$74,MATCH($CW68,$L$60:$L$74,0),MATCH(CX$61,$M$61:$Z$61,0))/INDEX(고양시_재차인원!$D$4:$H$35,MATCH("고양시",고양시_재차인원!$B$4:$B$35,0),MATCH($CX$60,고양시_재차인원!$D$4:$H$4,0))</f>
        <v>51.284342535611948</v>
      </c>
      <c r="CY68" s="267">
        <f>INDEX($M$60:$Z$74,MATCH($CW68,$L$60:$L$74,0),MATCH(CY$61,$M$61:$Z$61,0))/INDEX(고양시_재차인원!$K$4:$O$20,MATCH("경기도",고양시_재차인원!$K$4:$K$20,0),MATCH($CY$61,고양시_재차인원!$K$4:$O$4,0))</f>
        <v>4.2421514693816804E-4</v>
      </c>
      <c r="CZ68" s="267">
        <f>INDEX($M$60:$Z$74,MATCH($CW68,$L$60:$L$74,0),MATCH(CZ$61,$M$61:$Z$61,0))/INDEX(고양시_재차인원!$K$4:$O$20,MATCH("경기도",고양시_재차인원!$K$4:$K$20,0),MATCH($CZ$61,고양시_재차인원!$K$4:$O$4,0))</f>
        <v>0.11793181084881071</v>
      </c>
      <c r="DA68" s="267">
        <f>INDEX($M$60:$Z$74,MATCH($CW68,$L$60:$L$74,0),MATCH(DA$61,$M$61:$Z$61,0))/INDEX(고양시_재차인원!$D$4:$H$35,MATCH("고양시",고양시_재차인원!$B$4:$B$35,0),MATCH($CX$60,고양시_재차인원!$D$4:$H$4,0))</f>
        <v>3.2931897609514795</v>
      </c>
      <c r="DB68" s="267">
        <f>INDEX($AA$60:$AN$74,MATCH($CW68,$L$60:$L$74,0),MATCH(DB$61,$AA$61:$AN$61,0))/INDEX(고양시_재차인원!$D$4:$H$35,MATCH("고양시",고양시_재차인원!$B$4:$B$35,0),MATCH($DB$60,고양시_재차인원!$D$4:$H$4,0))</f>
        <v>316.77244887848133</v>
      </c>
      <c r="DC68" s="267">
        <f>INDEX($AA$60:$AN$74,MATCH($CW68,$L$60:$L$74,0),MATCH(DC$61,$AA$61:$AN$61,0))/INDEX(고양시_재차인원!$K$4:$O$20,MATCH("경기도",고양시_재차인원!$K$4:$K$20,0),MATCH($DC$61,고양시_재차인원!$K$4:$O$4,0))</f>
        <v>3.2987535534224318E-3</v>
      </c>
      <c r="DD68" s="267">
        <f>INDEX($AA$60:$AN$74,MATCH($CW68,$L$60:$L$74,0),MATCH(DD$61,$AA$61:$AN$61,0))/INDEX(고양시_재차인원!$K$4:$O$20,MATCH("경기도",고양시_재차인원!$K$4:$K$20,0),MATCH($DD$61,고양시_재차인원!$K$4:$O$4,0))</f>
        <v>0.91705348785143592</v>
      </c>
      <c r="DE68" s="267">
        <f>INDEX($AA$60:$AN$74,MATCH($CW68,$L$60:$L$74,0),MATCH(DE$61,$AA$61:$AN$61,0))/INDEX(고양시_재차인원!$D$4:$H$35,MATCH("고양시",고양시_재차인원!$B$4:$B$35,0),MATCH($DB$60,고양시_재차인원!$D$4:$H$4,0))</f>
        <v>20.341330971996882</v>
      </c>
      <c r="DF68" s="267">
        <f>INDEX($AO$60:$BB$74,MATCH($CW68,$L$60:$L$74,0),MATCH(DF$61,$AO$61:$BB$61,0))/INDEX(고양시_재차인원!$D$4:$H$35,MATCH("고양시",고양시_재차인원!$B$4:$B$35,0),MATCH($DF$60,고양시_재차인원!$D$4:$H$4,0))</f>
        <v>15.229139550043252</v>
      </c>
      <c r="DG68" s="267">
        <f>INDEX($AO$60:$BB$74,MATCH($CW68,$L$60:$L$74,0),MATCH(DG$61,$AO$61:$BB$61,0))/INDEX(고양시_재차인원!$K$4:$O$20,MATCH("경기도",고양시_재차인원!$K$4:$K$20,0),MATCH($DG$61,고양시_재차인원!$K$4:$O$4,0))</f>
        <v>1.4621841604622112E-4</v>
      </c>
      <c r="DH68" s="267">
        <f>INDEX($AO$60:$BB$74,MATCH($CW68,$L$60:$L$74,0),MATCH(DH$61,$AO$61:$BB$61,0))/INDEX(고양시_재차인원!$K$4:$O$20,MATCH("경기도",고양시_재차인원!$K$4:$K$20,0),MATCH($DH$61,고양시_재차인원!$K$4:$O$4,0))</f>
        <v>4.0648719660849472E-2</v>
      </c>
      <c r="DI68" s="267">
        <f>INDEX($AO$60:$BB$74,MATCH($CW68,$L$60:$L$74,0),MATCH(DI$61,$AO$61:$BB$61,0))/INDEX(고양시_재차인원!$D$4:$H$35,MATCH("고양시",고양시_재차인원!$B$4:$B$35,0),MATCH($DF$60,고양시_재차인원!$D$4:$H$4,0))</f>
        <v>0.97792901214396388</v>
      </c>
      <c r="DJ68" s="267">
        <f>INDEX($BC$60:$BP$74,MATCH($CW68,$L$60:$L$74,0),MATCH(DJ$61,$BC$61:$BP$61,0))/INDEX(고양시_재차인원!$D$4:$H$35,MATCH("고양시",고양시_재차인원!$B$4:$B$35,0),MATCH($DJ$60,고양시_재차인원!$D$4:$H$4,0))</f>
        <v>3.9477330837599744E-2</v>
      </c>
      <c r="DK68" s="267">
        <f>INDEX($BC$60:$BP$74,MATCH($CW68,$L$60:$L$74,0),MATCH(DK$61,$BC$61:$BP$61,0))/INDEX(고양시_재차인원!$K$4:$O$20,MATCH("경기도",고양시_재차인원!$K$4:$K$20,0),MATCH($DK$61,고양시_재차인원!$K$4:$O$4,0))</f>
        <v>3.9652451809144799E-7</v>
      </c>
      <c r="DL68" s="267">
        <f>INDEX($BC$60:$BP$74,MATCH($CW68,$L$60:$L$74,0),MATCH(DL$61,$BC$61:$BP$61,0))/INDEX(고양시_재차인원!$K$4:$O$20,MATCH("경기도",고양시_재차인원!$K$4:$K$20,0),MATCH($DL$61,고양시_재차인원!$K$4:$O$4,0))</f>
        <v>1.1023381602942254E-4</v>
      </c>
      <c r="DM68" s="267">
        <f>INDEX($BC$60:$BP$74,MATCH($CW68,$L$60:$L$74,0),MATCH(DM$61,$BC$61:$BP$61,0))/INDEX(고양시_재차인원!$D$4:$H$35,MATCH("고양시",고양시_재차인원!$B$4:$B$35,0),MATCH($DJ$60,고양시_재차인원!$D$4:$H$4,0))</f>
        <v>2.5350104003731924E-3</v>
      </c>
      <c r="DN68" s="267">
        <f>INDEX($BQ$60:$CD$74,MATCH($CW68,$L$60:$L$74,0),MATCH(DN$61,$BQ$61:$CD$61,0))/INDEX(고양시_재차인원!$D$4:$H$35,MATCH("고양시",고양시_재차인원!$B$4:$B$35,0),MATCH($DN$60,고양시_재차인원!$D$4:$H$4,0))</f>
        <v>0.12072961494250042</v>
      </c>
      <c r="DO68" s="267">
        <f>INDEX($BQ$60:$CD$74,MATCH($CW68,$L$60:$L$74,0),MATCH(DO$61,$BQ$61:$CD$61,0))/INDEX(고양시_재차인원!$K$4:$O$20,MATCH("경기도",고양시_재차인원!$K$4:$K$20,0),MATCH($DO$61,고양시_재차인원!$K$4:$O$4,0))</f>
        <v>1.1234861345924322E-6</v>
      </c>
      <c r="DP68" s="267">
        <f>INDEX($BQ$60:$CD$74,MATCH($CW68,$L$60:$L$74,0),MATCH(DP$61,$BQ$61:$CD$61,0))/INDEX(고양시_재차인원!$K$4:$O$20,MATCH("경기도",고양시_재차인원!$K$4:$K$20,0),MATCH($DP$61,고양시_재차인원!$K$4:$O$4,0))</f>
        <v>3.1232914541669612E-4</v>
      </c>
      <c r="DQ68" s="267">
        <f>INDEX($BQ$60:$CD$74,MATCH($CW68,$L$60:$L$74,0),MATCH(DQ$61,$BQ$61:$CD$61,0))/INDEX(고양시_재차인원!$D$4:$H$35,MATCH("고양시",고양시_재차인원!$B$4:$B$35,0),MATCH($DN$60,고양시_재차인원!$D$4:$H$4,0))</f>
        <v>7.752571488971959E-3</v>
      </c>
      <c r="DR68" s="270">
        <f t="shared" si="33"/>
        <v>383.44613790991662</v>
      </c>
      <c r="DS68" s="270">
        <f t="shared" si="26"/>
        <v>3.8707071270595046E-3</v>
      </c>
      <c r="DT68" s="270">
        <f t="shared" si="27"/>
        <v>1.0760565813225422</v>
      </c>
      <c r="DU68" s="270">
        <f t="shared" si="28"/>
        <v>24.622737326981667</v>
      </c>
      <c r="DW68" s="278" t="s">
        <v>167</v>
      </c>
      <c r="DX68" s="278" t="s">
        <v>167</v>
      </c>
      <c r="DY68" s="281">
        <f t="shared" si="41"/>
        <v>408.06887523689829</v>
      </c>
      <c r="DZ68" s="281">
        <f t="shared" si="42"/>
        <v>1.0799272884496018</v>
      </c>
      <c r="EB68" s="278" t="s">
        <v>168</v>
      </c>
      <c r="EC68" s="278" t="s">
        <v>168</v>
      </c>
      <c r="ED68" s="281">
        <f>DY69</f>
        <v>1549.6415451592979</v>
      </c>
      <c r="EE68" s="281">
        <f t="shared" ref="EE68:EE73" si="44">DZ69</f>
        <v>4.1010238552528815</v>
      </c>
      <c r="EK68" s="420" t="s">
        <v>168</v>
      </c>
      <c r="EL68" s="420" t="s">
        <v>168</v>
      </c>
      <c r="EM68" s="420" t="s">
        <v>569</v>
      </c>
      <c r="EN68" s="420">
        <v>63163.374600000003</v>
      </c>
      <c r="EO68" s="420">
        <v>0.3749310795992149</v>
      </c>
      <c r="EP68" s="421">
        <v>849007</v>
      </c>
      <c r="EQ68" s="422">
        <f t="shared" si="37"/>
        <v>564.45002735909748</v>
      </c>
      <c r="ER68" s="422">
        <f t="shared" si="38"/>
        <v>1.4937796644190025</v>
      </c>
      <c r="ES68">
        <v>0</v>
      </c>
      <c r="EU68" s="306" t="s">
        <v>168</v>
      </c>
      <c r="EV68" s="306" t="s">
        <v>168</v>
      </c>
      <c r="EW68" s="306" t="s">
        <v>569</v>
      </c>
      <c r="EX68" s="306">
        <v>63163.374600000003</v>
      </c>
      <c r="EY68" s="306">
        <v>0.3749310795992149</v>
      </c>
      <c r="EZ68" s="307">
        <v>849007</v>
      </c>
      <c r="FA68" s="308">
        <f t="shared" si="39"/>
        <v>564.45002735909748</v>
      </c>
      <c r="FB68" s="308">
        <f t="shared" si="30"/>
        <v>1.4937796644190025</v>
      </c>
      <c r="FD68" s="101"/>
      <c r="FE68" s="101"/>
      <c r="FF68" s="101"/>
      <c r="FG68" s="101"/>
      <c r="FH68" s="101"/>
      <c r="FI68" s="374"/>
      <c r="FJ68" s="404"/>
      <c r="FK68" s="404"/>
    </row>
    <row r="69" spans="1:167">
      <c r="A69" s="205" t="s">
        <v>168</v>
      </c>
      <c r="B69" s="205" t="s">
        <v>168</v>
      </c>
      <c r="C69" s="201">
        <f>$L36*KTDB_TripDistribution_2045!L$12</f>
        <v>463.79452364149864</v>
      </c>
      <c r="D69" s="201">
        <f>$L36*KTDB_TripDistribution_2045!M$12</f>
        <v>3606.5280647398858</v>
      </c>
      <c r="E69" s="201">
        <f>$L36*KTDB_TripDistribution_2045!N$12</f>
        <v>159.86062993563047</v>
      </c>
      <c r="F69" s="201">
        <f>$L36*KTDB_TripDistribution_2045!O$12</f>
        <v>0.43352035236781244</v>
      </c>
      <c r="G69" s="201">
        <f>$L36*KTDB_TripDistribution_2045!P$12</f>
        <v>1.228307665042131</v>
      </c>
      <c r="H69" s="201">
        <f>$L36*KTDB_TripDistribution_2045!Q$12</f>
        <v>4231.8450463344252</v>
      </c>
      <c r="I69" s="56"/>
      <c r="J69" s="56"/>
      <c r="K69" s="206" t="s">
        <v>168</v>
      </c>
      <c r="L69" s="206" t="s">
        <v>168</v>
      </c>
      <c r="M69" s="206">
        <f>INDEX($A$61:$H$74,MATCH($L69,$B$61:$B$74,0),MATCH($M$60,$A$61:$H$61,0))*고양시_Modal_split!C$3 * 0.01</f>
        <v>1.298624666196196</v>
      </c>
      <c r="N69" s="206">
        <f>INDEX($A$61:$H$74,MATCH($L69,$B$61:$B$74,0),MATCH($M$60,$A$61:$H$61,0))*고양시_Modal_split!D$3 * 0.01</f>
        <v>218.12256446859683</v>
      </c>
      <c r="O69" s="206">
        <f>INDEX($A$61:$H$74,MATCH($L69,$B$61:$B$74,0),MATCH($M$60,$A$61:$H$61,0))*고양시_Modal_split!E$3 * 0.01</f>
        <v>26.389908395201271</v>
      </c>
      <c r="P69" s="206">
        <f>INDEX($A$61:$H$74,MATCH($L69,$B$61:$B$74,0),MATCH($M$60,$A$61:$H$61,0))*고양시_Modal_split!F$3 * 0.01</f>
        <v>42.529957817925428</v>
      </c>
      <c r="Q69" s="206">
        <f>INDEX($A$61:$H$74,MATCH($L69,$B$61:$B$74,0),MATCH($M$60,$A$61:$H$61,0))*고양시_Modal_split!G$3 * 0.01</f>
        <v>4.2669096175017867</v>
      </c>
      <c r="R69" s="206">
        <f>INDEX($A$61:$H$74,MATCH($L69,$B$61:$B$74,0),MATCH($M$60,$A$61:$H$61,0))*고양시_Modal_split!H$3 * 0.01</f>
        <v>4.6379452364149865E-2</v>
      </c>
      <c r="S69" s="206">
        <f>INDEX($A$61:$H$74,MATCH($L69,$B$61:$B$74,0),MATCH($M$60,$A$61:$H$61,0))*고양시_Modal_split!I$3 * 0.01</f>
        <v>12.893487757233661</v>
      </c>
      <c r="T69" s="206">
        <f>INDEX($A$61:$H$74,MATCH($L69,$B$61:$B$74,0),MATCH($M$60,$A$61:$H$61,0))*고양시_Modal_split!J$3 * 0.01</f>
        <v>141.17905299647219</v>
      </c>
      <c r="U69" s="206">
        <f>INDEX($A$61:$H$74,MATCH($L69,$B$61:$B$74,0),MATCH($M$60,$A$61:$H$61,0))*고양시_Modal_split!K$3 * 0.01</f>
        <v>0.69569178546224797</v>
      </c>
      <c r="V69" s="206">
        <f>INDEX($A$61:$H$74,MATCH($L69,$B$61:$B$74,0),MATCH($M$60,$A$61:$H$61,0))*고양시_Modal_split!L$3 * 0.01</f>
        <v>14.00659461397326</v>
      </c>
      <c r="W69" s="206">
        <f>INDEX($A$61:$H$74,MATCH($L69,$B$61:$B$74,0),MATCH($M$60,$A$61:$H$61,0))*고양시_Modal_split!M$3 * 0.01</f>
        <v>1.0667274043754467</v>
      </c>
      <c r="X69" s="206">
        <f>INDEX($A$61:$H$74,MATCH($L69,$B$61:$B$74,0),MATCH($M$60,$A$61:$H$61,0))*고양시_Modal_split!N$3 * 0.01</f>
        <v>0.4637945236414987</v>
      </c>
      <c r="Y69" s="206">
        <f>INDEX($A$61:$H$74,MATCH($L69,$B$61:$B$74,0),MATCH($M$60,$A$61:$H$61,0))*고양시_Modal_split!O$3 * 0.01</f>
        <v>0.83483014255469756</v>
      </c>
      <c r="Z69" s="209">
        <f>INDEX($A$61:$H$74,MATCH($L69,$B$61:$B$74,0),MATCH($M$60,$A$61:$H$61,0))*고양시_Modal_split!P$3 * 0.01</f>
        <v>463.7945236414987</v>
      </c>
      <c r="AA69" s="207">
        <f>INDEX($A$61:$H$74,MATCH($L69,$B$61:$B$74,0),MATCH($AA$60,$A$61:$H$61,0))*고양시_Modal_split!C$3 * 0.01</f>
        <v>10.09827858127168</v>
      </c>
      <c r="AB69" s="207">
        <f>INDEX($A$61:$H$74,MATCH($L69,$B$61:$B$74,0),MATCH($AA$60,$A$61:$H$61,0))*고양시_Modal_split!D$3 * 0.01</f>
        <v>1696.1501488471683</v>
      </c>
      <c r="AC69" s="207">
        <f>INDEX($A$61:$H$74,MATCH($L69,$B$61:$B$74,0),MATCH($AA$60,$A$61:$H$61,0))*고양시_Modal_split!E$3 * 0.01</f>
        <v>205.21144688369949</v>
      </c>
      <c r="AD69" s="207">
        <f>INDEX($A$61:$H$74,MATCH($L69,$B$61:$B$74,0),MATCH($AA$60,$A$61:$H$61,0))*고양시_Modal_split!F$3 * 0.01</f>
        <v>330.7186235366475</v>
      </c>
      <c r="AE69" s="207">
        <f>INDEX($A$61:$H$74,MATCH($L69,$B$61:$B$74,0),MATCH($AA$60,$A$61:$H$61,0))*고양시_Modal_split!G$3 * 0.01</f>
        <v>33.180058195606946</v>
      </c>
      <c r="AF69" s="207">
        <f>INDEX($A$61:$H$74,MATCH($L69,$B$61:$B$74,0),MATCH($AA$60,$A$61:$H$61,0))*고양시_Modal_split!H$3 * 0.01</f>
        <v>0.36065280647398856</v>
      </c>
      <c r="AG69" s="207">
        <f>INDEX($A$61:$H$74,MATCH($L69,$B$61:$B$74,0),MATCH($AA$60,$A$61:$H$61,0))*고양시_Modal_split!I$3 * 0.01</f>
        <v>100.26148019976881</v>
      </c>
      <c r="AH69" s="207">
        <f>INDEX($A$61:$H$74,MATCH($L69,$B$61:$B$74,0),MATCH($AA$60,$A$61:$H$61,0))*고양시_Modal_split!J$3 * 0.01</f>
        <v>1097.8271429068213</v>
      </c>
      <c r="AI69" s="207">
        <f>INDEX($A$61:$H$74,MATCH($L69,$B$61:$B$74,0),MATCH($AA$60,$A$61:$H$61,0))*고양시_Modal_split!K$3 * 0.01</f>
        <v>5.409792097109829</v>
      </c>
      <c r="AJ69" s="207">
        <f>INDEX($A$61:$H$74,MATCH($L69,$B$61:$B$74,0),MATCH($AA$60,$A$61:$H$61,0))*고양시_Modal_split!L$3 * 0.01</f>
        <v>108.91714755514455</v>
      </c>
      <c r="AK69" s="207">
        <f>INDEX($A$61:$H$74,MATCH($L69,$B$61:$B$74,0),MATCH($AA$60,$A$61:$H$61,0))*고양시_Modal_split!M$3 * 0.01</f>
        <v>8.2950145489017366</v>
      </c>
      <c r="AL69" s="207">
        <f>INDEX($A$61:$H$74,MATCH($L69,$B$61:$B$74,0),MATCH($AA$60,$A$61:$H$61,0))*고양시_Modal_split!N$3 * 0.01</f>
        <v>3.6065280647398863</v>
      </c>
      <c r="AM69" s="207">
        <f>INDEX($A$61:$H$74,MATCH($L69,$B$61:$B$74,0),MATCH($AA$60,$A$61:$H$61,0))*고양시_Modal_split!O$3 * 0.01</f>
        <v>6.4917505165317948</v>
      </c>
      <c r="AN69" s="207">
        <f>INDEX($A$61:$H$74,MATCH($L69,$B$61:$B$74,0),MATCH($AA$60,$A$61:$H$61,0))*고양시_Modal_split!P$3 * 0.01</f>
        <v>3606.5280647398858</v>
      </c>
      <c r="AO69" s="303">
        <f>INDEX($A$61:$H$74,MATCH($L69,$B$61:$B$74,0),MATCH($AO$60,$A$61:$H$61,0))*고양시_Modal_split!C$3 * 0.01</f>
        <v>0.44760976381976525</v>
      </c>
      <c r="AP69" s="303">
        <f>INDEX($A$61:$H$74,MATCH($L69,$B$61:$B$74,0),MATCH($AO$60,$A$61:$H$61,0))*고양시_Modal_split!D$3 * 0.01</f>
        <v>75.18245425872702</v>
      </c>
      <c r="AQ69" s="303">
        <f>INDEX($A$61:$H$74,MATCH($L69,$B$61:$B$74,0),MATCH($AO$60,$A$61:$H$61,0))*고양시_Modal_split!E$3 * 0.01</f>
        <v>9.0960698433373732</v>
      </c>
      <c r="AR69" s="303">
        <f>INDEX($A$61:$H$74,MATCH($L69,$B$61:$B$74,0),MATCH($AO$60,$A$61:$H$61,0))*고양시_Modal_split!F$3 * 0.01</f>
        <v>14.659219765097314</v>
      </c>
      <c r="AS69" s="303">
        <f>INDEX($A$61:$H$74,MATCH($L69,$B$61:$B$74,0),MATCH($AO$60,$A$61:$H$61,0))*고양시_Modal_split!G$3 * 0.01</f>
        <v>1.4707177954078003</v>
      </c>
      <c r="AT69" s="303">
        <f>INDEX($A$61:$H$74,MATCH($L69,$B$61:$B$74,0),MATCH($AO$60,$A$61:$H$61,0))*고양시_Modal_split!H$3 * 0.01</f>
        <v>1.598606299356305E-2</v>
      </c>
      <c r="AU69" s="303">
        <f>INDEX($A$61:$H$74,MATCH($L69,$B$61:$B$74,0),MATCH($AO$60,$A$61:$H$61,0))*고양시_Modal_split!I$3 * 0.01</f>
        <v>4.444125512210527</v>
      </c>
      <c r="AV69" s="303">
        <f>INDEX($A$61:$H$74,MATCH($L69,$B$61:$B$74,0),MATCH($AO$60,$A$61:$H$61,0))*고양시_Modal_split!J$3 * 0.01</f>
        <v>48.661575752405916</v>
      </c>
      <c r="AW69" s="303">
        <f>INDEX($A$61:$H$74,MATCH($L69,$B$61:$B$74,0),MATCH($AO$60,$A$61:$H$61,0))*고양시_Modal_split!K$3 * 0.01</f>
        <v>0.23979094490344569</v>
      </c>
      <c r="AX69" s="303">
        <f>INDEX($A$61:$H$74,MATCH($L69,$B$61:$B$74,0),MATCH($AO$60,$A$61:$H$61,0))*고양시_Modal_split!L$3 * 0.01</f>
        <v>4.8277910240560402</v>
      </c>
      <c r="AY69" s="303">
        <f>INDEX($A$61:$H$74,MATCH($L69,$B$61:$B$74,0),MATCH($AO$60,$A$61:$H$61,0))*고양시_Modal_split!M$3 * 0.01</f>
        <v>0.36767944885195009</v>
      </c>
      <c r="AZ69" s="303">
        <f>INDEX($A$61:$H$74,MATCH($L69,$B$61:$B$74,0),MATCH($AO$60,$A$61:$H$61,0))*고양시_Modal_split!N$3 * 0.01</f>
        <v>0.15986062993563047</v>
      </c>
      <c r="BA69" s="207">
        <f>INDEX($A$61:$H$74,MATCH($L69,$B$61:$B$74,0),MATCH($AO$60,$A$61:$H$61,0))*고양시_Modal_split!O$3 * 0.01</f>
        <v>0.28774913388413487</v>
      </c>
      <c r="BB69" s="207">
        <f>INDEX($A$61:$H$74,MATCH($L69,$B$61:$B$74,0),MATCH($AO$60,$A$61:$H$61,0))*고양시_Modal_split!P$3 * 0.01</f>
        <v>159.86062993563047</v>
      </c>
      <c r="BC69" s="207">
        <f>INDEX($A$61:$H$74,MATCH($L69,$B$61:$B$74,0),MATCH($BC$60,$A$61:$H$61,0))*고양시_Modal_split!C$3 * 0.01</f>
        <v>1.2138569866298747E-3</v>
      </c>
      <c r="BD69" s="207">
        <f>INDEX($A$61:$H$74,MATCH($L69,$B$61:$B$74,0),MATCH($BC$60,$A$61:$H$61,0))*고양시_Modal_split!D$3 * 0.01</f>
        <v>0.20388462171858218</v>
      </c>
      <c r="BE69" s="207">
        <f>INDEX($A$61:$H$74,MATCH($L69,$B$61:$B$74,0),MATCH($BC$60,$A$61:$H$61,0))*고양시_Modal_split!E$3 * 0.01</f>
        <v>2.4667308049728526E-2</v>
      </c>
      <c r="BF69" s="207">
        <f>INDEX($A$61:$H$74,MATCH($L69,$B$61:$B$74,0),MATCH($BC$60,$A$61:$H$61,0))*고양시_Modal_split!F$3 * 0.01</f>
        <v>3.9753816312128404E-2</v>
      </c>
      <c r="BG69" s="207">
        <f>INDEX($A$61:$H$74,MATCH($L69,$B$61:$B$74,0),MATCH($BC$60,$A$61:$H$61,0))*고양시_Modal_split!G$3 * 0.01</f>
        <v>3.9883872417838737E-3</v>
      </c>
      <c r="BH69" s="207">
        <f>INDEX($A$61:$H$74,MATCH($L69,$B$61:$B$74,0),MATCH($BC$60,$A$61:$H$61,0))*고양시_Modal_split!H$3 * 0.01</f>
        <v>4.3352035236781247E-5</v>
      </c>
      <c r="BI69" s="207">
        <f>INDEX($A$61:$H$74,MATCH($L69,$B$61:$B$74,0),MATCH($BC$60,$A$61:$H$61,0))*고양시_Modal_split!I$3 * 0.01</f>
        <v>1.2051865795825185E-2</v>
      </c>
      <c r="BJ69" s="207">
        <f>INDEX($A$61:$H$74,MATCH($L69,$B$61:$B$74,0),MATCH($BC$60,$A$61:$H$61,0))*고양시_Modal_split!J$3 * 0.01</f>
        <v>0.13196359526076212</v>
      </c>
      <c r="BK69" s="207">
        <f>INDEX($A$61:$H$74,MATCH($L69,$B$61:$B$74,0),MATCH($BC$60,$A$61:$H$61,0))*고양시_Modal_split!K$3 * 0.01</f>
        <v>6.5028052855171871E-4</v>
      </c>
      <c r="BL69" s="207">
        <f>INDEX($A$61:$H$74,MATCH($L69,$B$61:$B$74,0),MATCH($BC$60,$A$61:$H$61,0))*고양시_Modal_split!L$3 * 0.01</f>
        <v>1.3092314641507936E-2</v>
      </c>
      <c r="BM69" s="207">
        <f>INDEX($A$61:$H$74,MATCH($L69,$B$61:$B$74,0),MATCH($BC$60,$A$61:$H$61,0))*고양시_Modal_split!M$3 * 0.01</f>
        <v>9.9709681044596842E-4</v>
      </c>
      <c r="BN69" s="207">
        <f>INDEX($A$61:$H$74,MATCH($L69,$B$61:$B$74,0),MATCH($BC$60,$A$61:$H$61,0))*고양시_Modal_split!N$3 * 0.01</f>
        <v>4.3352035236781246E-4</v>
      </c>
      <c r="BO69" s="207">
        <f>INDEX($A$61:$H$74,MATCH($L69,$B$61:$B$74,0),MATCH($BC$60,$A$61:$H$61,0))*고양시_Modal_split!O$3 * 0.01</f>
        <v>7.8033663426206243E-4</v>
      </c>
      <c r="BP69" s="207">
        <f>INDEX($A$61:$H$74,MATCH($L69,$B$61:$B$74,0),MATCH($BC$60,$A$61:$H$61,0))*고양시_Modal_split!P$3 * 0.01</f>
        <v>0.4335203523678125</v>
      </c>
      <c r="BQ69" s="207">
        <f>INDEX($A$61:$H$74,MATCH($L69,$B$61:$B$74,0),MATCH($BQ$60,$A$61:$H$61,0))*고양시_Modal_split!C$3 * 0.01</f>
        <v>3.4392614621179662E-3</v>
      </c>
      <c r="BR69" s="207">
        <f>INDEX($A$61:$H$74,MATCH($L69,$B$61:$B$74,0),MATCH($BQ$60,$A$61:$H$61,0))*고양시_Modal_split!D$3 * 0.01</f>
        <v>0.57767309486931417</v>
      </c>
      <c r="BS69" s="207">
        <f>INDEX($A$61:$H$74,MATCH($L69,$B$61:$B$74,0),MATCH($BQ$60,$A$61:$H$61,0))*고양시_Modal_split!E$3 * 0.01</f>
        <v>6.9890706140897249E-2</v>
      </c>
      <c r="BT69" s="207">
        <f>INDEX($A$61:$H$74,MATCH($L69,$B$61:$B$74,0),MATCH($BQ$60,$A$61:$H$61,0))*고양시_Modal_split!F$3 * 0.01</f>
        <v>0.1126358128843634</v>
      </c>
      <c r="BU69" s="207">
        <f>INDEX($A$61:$H$74,MATCH($L69,$B$61:$B$74,0),MATCH($BQ$60,$A$61:$H$61,0))*고양시_Modal_split!G$3 * 0.01</f>
        <v>1.1300430518387604E-2</v>
      </c>
      <c r="BV69" s="207">
        <f>INDEX($A$61:$H$74,MATCH($L69,$B$61:$B$74,0),MATCH($BQ$60,$A$61:$H$61,0))*고양시_Modal_split!H$3 * 0.01</f>
        <v>1.2283076650421309E-4</v>
      </c>
      <c r="BW69" s="207">
        <f>INDEX($A$61:$H$74,MATCH($L69,$B$61:$B$74,0),MATCH($BQ$60,$A$61:$H$61,0))*고양시_Modal_split!I$3 * 0.01</f>
        <v>3.4146953088171242E-2</v>
      </c>
      <c r="BX69" s="207">
        <f>INDEX($A$61:$H$74,MATCH($L69,$B$61:$B$74,0),MATCH($BQ$60,$A$61:$H$61,0))*고양시_Modal_split!J$3 * 0.01</f>
        <v>0.37389685323882471</v>
      </c>
      <c r="BY69" s="207">
        <f>INDEX($A$61:$H$74,MATCH($L69,$B$61:$B$74,0),MATCH($BQ$60,$A$61:$H$61,0))*고양시_Modal_split!K$3 * 0.01</f>
        <v>1.8424614975631965E-3</v>
      </c>
      <c r="BZ69" s="207">
        <f>INDEX($A$61:$H$74,MATCH($L69,$B$61:$B$74,0),MATCH($BQ$60,$A$61:$H$61,0))*고양시_Modal_split!L$3 * 0.01</f>
        <v>3.7094891484272356E-2</v>
      </c>
      <c r="CA69" s="207">
        <f>INDEX($A$61:$H$74,MATCH($L69,$B$61:$B$74,0),MATCH($BQ$60,$A$61:$H$61,0))*고양시_Modal_split!M$3 * 0.01</f>
        <v>2.825107629596901E-3</v>
      </c>
      <c r="CB69" s="207">
        <f>INDEX($A$61:$H$74,MATCH($L69,$B$61:$B$74,0),MATCH($BQ$60,$A$61:$H$61,0))*고양시_Modal_split!N$3 * 0.01</f>
        <v>1.2283076650421311E-3</v>
      </c>
      <c r="CC69" s="207">
        <f>INDEX($A$61:$H$74,MATCH($L69,$B$61:$B$74,0),MATCH($BQ$60,$A$61:$H$61,0))*고양시_Modal_split!O$3 * 0.01</f>
        <v>2.2109537970758358E-3</v>
      </c>
      <c r="CD69" s="207">
        <f>INDEX($A$61:$H$74,MATCH($L69,$B$61:$B$74,0),MATCH($BQ$60,$A$61:$H$61,0))*고양시_Modal_split!P$3 * 0.01</f>
        <v>1.228307665042131</v>
      </c>
      <c r="CE69" s="304">
        <f t="shared" si="31"/>
        <v>11.849166129736387</v>
      </c>
      <c r="CF69" s="304">
        <f t="shared" si="13"/>
        <v>1990.2367252910801</v>
      </c>
      <c r="CG69" s="304">
        <f t="shared" si="14"/>
        <v>240.79198313642877</v>
      </c>
      <c r="CH69" s="304">
        <f t="shared" si="15"/>
        <v>388.06019074886677</v>
      </c>
      <c r="CI69" s="304">
        <f t="shared" si="16"/>
        <v>38.932974426276708</v>
      </c>
      <c r="CJ69" s="304">
        <f t="shared" si="17"/>
        <v>0.42318450463344243</v>
      </c>
      <c r="CK69" s="304">
        <f t="shared" si="18"/>
        <v>117.645292288097</v>
      </c>
      <c r="CL69" s="304">
        <f t="shared" si="19"/>
        <v>1288.173632104199</v>
      </c>
      <c r="CM69" s="304">
        <f t="shared" si="20"/>
        <v>6.347767569501638</v>
      </c>
      <c r="CN69" s="304">
        <f t="shared" si="21"/>
        <v>127.80172039929964</v>
      </c>
      <c r="CO69" s="304">
        <f t="shared" si="22"/>
        <v>9.733243606569177</v>
      </c>
      <c r="CP69" s="304">
        <f t="shared" si="23"/>
        <v>4.2318450463344259</v>
      </c>
      <c r="CQ69" s="304">
        <f t="shared" si="24"/>
        <v>7.6173210834019649</v>
      </c>
      <c r="CR69" s="304">
        <f t="shared" si="25"/>
        <v>4231.8450463344252</v>
      </c>
      <c r="CS69" s="305">
        <f t="shared" si="32"/>
        <v>0</v>
      </c>
      <c r="CV69" s="267" t="s">
        <v>168</v>
      </c>
      <c r="CW69" s="267" t="s">
        <v>168</v>
      </c>
      <c r="CX69" s="267">
        <f>INDEX($M$60:$Z$74,MATCH($CW69,$L$60:$L$74,0),MATCH(CX$61,$M$61:$Z$61,0))/INDEX(고양시_재차인원!$D$4:$H$35,MATCH("고양시",고양시_재차인원!$B$4:$B$35,0),MATCH($CX$60,고양시_재차인원!$D$4:$H$4,0))</f>
        <v>194.7522897041043</v>
      </c>
      <c r="CY69" s="267">
        <f>INDEX($M$60:$Z$74,MATCH($CW69,$L$60:$L$74,0),MATCH(CY$61,$M$61:$Z$61,0))/INDEX(고양시_재차인원!$K$4:$O$20,MATCH("경기도",고양시_재차인원!$K$4:$K$20,0),MATCH($CY$61,고양시_재차인원!$K$4:$O$4,0))</f>
        <v>1.6109570116064559E-3</v>
      </c>
      <c r="CZ69" s="267">
        <f>INDEX($M$60:$Z$74,MATCH($CW69,$L$60:$L$74,0),MATCH(CZ$61,$M$61:$Z$61,0))/INDEX(고양시_재차인원!$K$4:$O$20,MATCH("경기도",고양시_재차인원!$K$4:$K$20,0),MATCH($CZ$61,고양시_재차인원!$K$4:$O$4,0))</f>
        <v>0.44784604922659471</v>
      </c>
      <c r="DA69" s="267">
        <f>INDEX($M$60:$Z$74,MATCH($CW69,$L$60:$L$74,0),MATCH(DA$61,$M$61:$Z$61,0))/INDEX(고양시_재차인원!$D$4:$H$35,MATCH("고양시",고양시_재차인원!$B$4:$B$35,0),MATCH($CX$60,고양시_재차인원!$D$4:$H$4,0))</f>
        <v>12.505888048190409</v>
      </c>
      <c r="DB69" s="267">
        <f>INDEX($AA$60:$AN$74,MATCH($CW69,$L$60:$L$74,0),MATCH(DB$61,$AA$61:$AN$61,0))/INDEX(고양시_재차인원!$D$4:$H$35,MATCH("고양시",고양시_재차인원!$B$4:$B$35,0),MATCH($DB$60,고양시_재차인원!$D$4:$H$4,0))</f>
        <v>1202.9433679767153</v>
      </c>
      <c r="DC69" s="267">
        <f>INDEX($AA$60:$AN$74,MATCH($CW69,$L$60:$L$74,0),MATCH(DC$61,$AA$61:$AN$61,0))/INDEX(고양시_재차인원!$K$4:$O$20,MATCH("경기도",고양시_재차인원!$K$4:$K$20,0),MATCH($DC$61,고양시_재차인원!$K$4:$O$4,0))</f>
        <v>1.2527016549982235E-2</v>
      </c>
      <c r="DD69" s="267">
        <f>INDEX($AA$60:$AN$74,MATCH($CW69,$L$60:$L$74,0),MATCH(DD$61,$AA$61:$AN$61,0))/INDEX(고양시_재차인원!$K$4:$O$20,MATCH("경기도",고양시_재차인원!$K$4:$K$20,0),MATCH($DD$61,고양시_재차인원!$K$4:$O$4,0))</f>
        <v>3.4825106008950613</v>
      </c>
      <c r="DE69" s="267">
        <f>INDEX($AA$60:$AN$74,MATCH($CW69,$L$60:$L$74,0),MATCH(DE$61,$AA$61:$AN$61,0))/INDEX(고양시_재차인원!$D$4:$H$35,MATCH("고양시",고양시_재차인원!$B$4:$B$35,0),MATCH($DB$60,고양시_재차인원!$D$4:$H$4,0))</f>
        <v>77.246203939818841</v>
      </c>
      <c r="DF69" s="267">
        <f>INDEX($AO$60:$BB$74,MATCH($CW69,$L$60:$L$74,0),MATCH(DF$61,$AO$61:$BB$61,0))/INDEX(고양시_재차인원!$D$4:$H$35,MATCH("고양시",고양시_재차인원!$B$4:$B$35,0),MATCH($DF$60,고양시_재차인원!$D$4:$H$4,0))</f>
        <v>57.832657122097707</v>
      </c>
      <c r="DG69" s="267">
        <f>INDEX($AO$60:$BB$74,MATCH($CW69,$L$60:$L$74,0),MATCH(DG$61,$AO$61:$BB$61,0))/INDEX(고양시_재차인원!$K$4:$O$20,MATCH("경기도",고양시_재차인원!$K$4:$K$20,0),MATCH($DG$61,고양시_재차인원!$K$4:$O$4,0))</f>
        <v>5.5526443187089438E-4</v>
      </c>
      <c r="DH69" s="267">
        <f>INDEX($AO$60:$BB$74,MATCH($CW69,$L$60:$L$74,0),MATCH(DH$61,$AO$61:$BB$61,0))/INDEX(고양시_재차인원!$K$4:$O$20,MATCH("경기도",고양시_재차인원!$K$4:$K$20,0),MATCH($DH$61,고양시_재차인원!$K$4:$O$4,0))</f>
        <v>0.15436351206010862</v>
      </c>
      <c r="DI69" s="267">
        <f>INDEX($AO$60:$BB$74,MATCH($CW69,$L$60:$L$74,0),MATCH(DI$61,$AO$61:$BB$61,0))/INDEX(고양시_재차인원!$D$4:$H$35,MATCH("고양시",고양시_재차인원!$B$4:$B$35,0),MATCH($DF$60,고양시_재차인원!$D$4:$H$4,0))</f>
        <v>3.7136854031200306</v>
      </c>
      <c r="DJ69" s="267">
        <f>INDEX($BC$60:$BP$74,MATCH($CW69,$L$60:$L$74,0),MATCH(DJ$61,$BC$61:$BP$61,0))/INDEX(고양시_재차인원!$D$4:$H$35,MATCH("고양시",고양시_재차인원!$B$4:$B$35,0),MATCH($DJ$60,고양시_재차인원!$D$4:$H$4,0))</f>
        <v>0.14991516302836924</v>
      </c>
      <c r="DK69" s="267">
        <f>INDEX($BC$60:$BP$74,MATCH($CW69,$L$60:$L$74,0),MATCH(DK$61,$BC$61:$BP$61,0))/INDEX(고양시_재차인원!$K$4:$O$20,MATCH("경기도",고양시_재차인원!$K$4:$K$20,0),MATCH($DK$61,고양시_재차인원!$K$4:$O$4,0))</f>
        <v>1.5058018491414118E-6</v>
      </c>
      <c r="DL69" s="267">
        <f>INDEX($BC$60:$BP$74,MATCH($CW69,$L$60:$L$74,0),MATCH(DL$61,$BC$61:$BP$61,0))/INDEX(고양시_재차인원!$K$4:$O$20,MATCH("경기도",고양시_재차인원!$K$4:$K$20,0),MATCH($DL$61,고양시_재차인원!$K$4:$O$4,0))</f>
        <v>4.1861291406131244E-4</v>
      </c>
      <c r="DM69" s="267">
        <f>INDEX($BC$60:$BP$74,MATCH($CW69,$L$60:$L$74,0),MATCH(DM$61,$BC$61:$BP$61,0))/INDEX(고양시_재차인원!$D$4:$H$35,MATCH("고양시",고양시_재차인원!$B$4:$B$35,0),MATCH($DJ$60,고양시_재차인원!$D$4:$H$4,0))</f>
        <v>9.626701942285246E-3</v>
      </c>
      <c r="DN69" s="267">
        <f>INDEX($BQ$60:$CD$74,MATCH($CW69,$L$60:$L$74,0),MATCH(DN$61,$BQ$61:$CD$61,0))/INDEX(고양시_재차인원!$D$4:$H$35,MATCH("고양시",고양시_재차인원!$B$4:$B$35,0),MATCH($DN$60,고양시_재차인원!$D$4:$H$4,0))</f>
        <v>0.45847071021374142</v>
      </c>
      <c r="DO69" s="267">
        <f>INDEX($BQ$60:$CD$74,MATCH($CW69,$L$60:$L$74,0),MATCH(DO$61,$BQ$61:$CD$61,0))/INDEX(고양시_재차인원!$K$4:$O$20,MATCH("경기도",고양시_재차인원!$K$4:$K$20,0),MATCH($DO$61,고양시_재차인원!$K$4:$O$4,0))</f>
        <v>4.2664385725673182E-6</v>
      </c>
      <c r="DP69" s="267">
        <f>INDEX($BQ$60:$CD$74,MATCH($CW69,$L$60:$L$74,0),MATCH(DP$61,$BQ$61:$CD$61,0))/INDEX(고양시_재차인원!$K$4:$O$20,MATCH("경기도",고양시_재차인원!$K$4:$K$20,0),MATCH($DP$61,고양시_재차인원!$K$4:$O$4,0))</f>
        <v>1.1860699231737147E-3</v>
      </c>
      <c r="DQ69" s="267">
        <f>INDEX($BQ$60:$CD$74,MATCH($CW69,$L$60:$L$74,0),MATCH(DQ$61,$BQ$61:$CD$61,0))/INDEX(고양시_재차인원!$D$4:$H$35,MATCH("고양시",고양시_재차인원!$B$4:$B$35,0),MATCH($DN$60,고양시_재차인원!$D$4:$H$4,0))</f>
        <v>2.9440390066882823E-2</v>
      </c>
      <c r="DR69" s="270">
        <f t="shared" si="33"/>
        <v>1456.1367006761595</v>
      </c>
      <c r="DS69" s="270">
        <f t="shared" si="26"/>
        <v>1.4699010233881295E-2</v>
      </c>
      <c r="DT69" s="270">
        <f t="shared" si="27"/>
        <v>4.086324845019</v>
      </c>
      <c r="DU69" s="270">
        <f t="shared" si="28"/>
        <v>93.504844483138442</v>
      </c>
      <c r="DW69" s="278" t="s">
        <v>168</v>
      </c>
      <c r="DX69" s="278" t="s">
        <v>168</v>
      </c>
      <c r="DY69" s="281">
        <f t="shared" si="41"/>
        <v>1549.6415451592979</v>
      </c>
      <c r="DZ69" s="281">
        <f t="shared" si="42"/>
        <v>4.1010238552528815</v>
      </c>
      <c r="EB69" s="278" t="s">
        <v>47</v>
      </c>
      <c r="EC69" s="278" t="s">
        <v>47</v>
      </c>
      <c r="ED69" s="281">
        <f t="shared" ref="ED69:ED73" si="45">DY70</f>
        <v>235.57074911352581</v>
      </c>
      <c r="EE69" s="281">
        <f t="shared" si="44"/>
        <v>0.62342240677023864</v>
      </c>
      <c r="EK69" s="420" t="s">
        <v>168</v>
      </c>
      <c r="EL69" s="420" t="s">
        <v>168</v>
      </c>
      <c r="EM69" s="420" t="s">
        <v>79</v>
      </c>
      <c r="EN69" s="420">
        <v>36231.236499999999</v>
      </c>
      <c r="EO69" s="420">
        <v>0.21506476976864181</v>
      </c>
      <c r="EP69" s="421">
        <v>849008</v>
      </c>
      <c r="EQ69" s="422">
        <f t="shared" si="37"/>
        <v>323.77501302279899</v>
      </c>
      <c r="ER69" s="422">
        <f t="shared" si="38"/>
        <v>0.85684915733516731</v>
      </c>
      <c r="ES69">
        <v>0</v>
      </c>
      <c r="EU69" s="306" t="s">
        <v>168</v>
      </c>
      <c r="EV69" s="306" t="s">
        <v>168</v>
      </c>
      <c r="EW69" s="306" t="s">
        <v>79</v>
      </c>
      <c r="EX69" s="306">
        <v>36231.236499999999</v>
      </c>
      <c r="EY69" s="306">
        <v>0.21506476976864181</v>
      </c>
      <c r="EZ69" s="307">
        <v>849008</v>
      </c>
      <c r="FA69" s="308">
        <f t="shared" si="39"/>
        <v>323.77501302279899</v>
      </c>
      <c r="FB69" s="308">
        <f t="shared" si="30"/>
        <v>0.85684915733516731</v>
      </c>
      <c r="FD69" s="101"/>
      <c r="FE69" s="101"/>
      <c r="FF69" s="101"/>
      <c r="FG69" s="101"/>
      <c r="FH69" s="101"/>
      <c r="FI69" s="374"/>
      <c r="FJ69" s="404"/>
      <c r="FK69" s="404"/>
    </row>
    <row r="70" spans="1:167" ht="25">
      <c r="A70" s="205" t="s">
        <v>47</v>
      </c>
      <c r="B70" s="205" t="s">
        <v>47</v>
      </c>
      <c r="C70" s="201">
        <f>$L37*KTDB_TripDistribution_2045!L$12</f>
        <v>70.504319989528611</v>
      </c>
      <c r="D70" s="201">
        <f>$L37*KTDB_TripDistribution_2045!M$12</f>
        <v>548.25099427906355</v>
      </c>
      <c r="E70" s="201">
        <f>$L37*KTDB_TripDistribution_2045!N$12</f>
        <v>24.301418908993845</v>
      </c>
      <c r="F70" s="201">
        <f>$L37*KTDB_TripDistribution_2045!O$12</f>
        <v>6.590215297354278E-2</v>
      </c>
      <c r="G70" s="201">
        <f>$L37*KTDB_TripDistribution_2045!P$12</f>
        <v>0.18672276675837057</v>
      </c>
      <c r="H70" s="201">
        <f>$L37*KTDB_TripDistribution_2045!Q$12</f>
        <v>643.30935809731795</v>
      </c>
      <c r="I70" s="56"/>
      <c r="J70" s="56"/>
      <c r="K70" s="206" t="s">
        <v>47</v>
      </c>
      <c r="L70" s="206" t="s">
        <v>47</v>
      </c>
      <c r="M70" s="206">
        <f>INDEX($A$61:$H$74,MATCH($L70,$B$61:$B$74,0),MATCH($M$60,$A$61:$H$61,0))*고양시_Modal_split!C$3 * 0.01</f>
        <v>0.1974120959706801</v>
      </c>
      <c r="N70" s="206">
        <f>INDEX($A$61:$H$74,MATCH($L70,$B$61:$B$74,0),MATCH($M$60,$A$61:$H$61,0))*고양시_Modal_split!D$3 * 0.01</f>
        <v>33.158181691075306</v>
      </c>
      <c r="O70" s="206">
        <f>INDEX($A$61:$H$74,MATCH($L70,$B$61:$B$74,0),MATCH($M$60,$A$61:$H$61,0))*고양시_Modal_split!E$3 * 0.01</f>
        <v>4.0116958074041777</v>
      </c>
      <c r="P70" s="206">
        <f>INDEX($A$61:$H$74,MATCH($L70,$B$61:$B$74,0),MATCH($M$60,$A$61:$H$61,0))*고양시_Modal_split!F$3 * 0.01</f>
        <v>6.4652461430397743</v>
      </c>
      <c r="Q70" s="206">
        <f>INDEX($A$61:$H$74,MATCH($L70,$B$61:$B$74,0),MATCH($M$60,$A$61:$H$61,0))*고양시_Modal_split!G$3 * 0.01</f>
        <v>0.64863974390366319</v>
      </c>
      <c r="R70" s="206">
        <f>INDEX($A$61:$H$74,MATCH($L70,$B$61:$B$74,0),MATCH($M$60,$A$61:$H$61,0))*고양시_Modal_split!H$3 * 0.01</f>
        <v>7.0504319989528608E-3</v>
      </c>
      <c r="S70" s="206">
        <f>INDEX($A$61:$H$74,MATCH($L70,$B$61:$B$74,0),MATCH($M$60,$A$61:$H$61,0))*고양시_Modal_split!I$3 * 0.01</f>
        <v>1.9600200957088953</v>
      </c>
      <c r="T70" s="206">
        <f>INDEX($A$61:$H$74,MATCH($L70,$B$61:$B$74,0),MATCH($M$60,$A$61:$H$61,0))*고양시_Modal_split!J$3 * 0.01</f>
        <v>21.461515004812508</v>
      </c>
      <c r="U70" s="206">
        <f>INDEX($A$61:$H$74,MATCH($L70,$B$61:$B$74,0),MATCH($M$60,$A$61:$H$61,0))*고양시_Modal_split!K$3 * 0.01</f>
        <v>0.10575647998429291</v>
      </c>
      <c r="V70" s="206">
        <f>INDEX($A$61:$H$74,MATCH($L70,$B$61:$B$74,0),MATCH($M$60,$A$61:$H$61,0))*고양시_Modal_split!L$3 * 0.01</f>
        <v>2.129230463683764</v>
      </c>
      <c r="W70" s="206">
        <f>INDEX($A$61:$H$74,MATCH($L70,$B$61:$B$74,0),MATCH($M$60,$A$61:$H$61,0))*고양시_Modal_split!M$3 * 0.01</f>
        <v>0.1621599359759158</v>
      </c>
      <c r="X70" s="206">
        <f>INDEX($A$61:$H$74,MATCH($L70,$B$61:$B$74,0),MATCH($M$60,$A$61:$H$61,0))*고양시_Modal_split!N$3 * 0.01</f>
        <v>7.0504319989528622E-2</v>
      </c>
      <c r="Y70" s="206">
        <f>INDEX($A$61:$H$74,MATCH($L70,$B$61:$B$74,0),MATCH($M$60,$A$61:$H$61,0))*고양시_Modal_split!O$3 * 0.01</f>
        <v>0.12690777598115149</v>
      </c>
      <c r="Z70" s="209">
        <f>INDEX($A$61:$H$74,MATCH($L70,$B$61:$B$74,0),MATCH($M$60,$A$61:$H$61,0))*고양시_Modal_split!P$3 * 0.01</f>
        <v>70.504319989528611</v>
      </c>
      <c r="AA70" s="207">
        <f>INDEX($A$61:$H$74,MATCH($L70,$B$61:$B$74,0),MATCH($AA$60,$A$61:$H$61,0))*고양시_Modal_split!C$3 * 0.01</f>
        <v>1.5351027839813778</v>
      </c>
      <c r="AB70" s="207">
        <f>INDEX($A$61:$H$74,MATCH($L70,$B$61:$B$74,0),MATCH($AA$60,$A$61:$H$61,0))*고양시_Modal_split!D$3 * 0.01</f>
        <v>257.84244260944359</v>
      </c>
      <c r="AC70" s="207">
        <f>INDEX($A$61:$H$74,MATCH($L70,$B$61:$B$74,0),MATCH($AA$60,$A$61:$H$61,0))*고양시_Modal_split!E$3 * 0.01</f>
        <v>31.195481574478713</v>
      </c>
      <c r="AD70" s="207">
        <f>INDEX($A$61:$H$74,MATCH($L70,$B$61:$B$74,0),MATCH($AA$60,$A$61:$H$61,0))*고양시_Modal_split!F$3 * 0.01</f>
        <v>50.274616175390129</v>
      </c>
      <c r="AE70" s="207">
        <f>INDEX($A$61:$H$74,MATCH($L70,$B$61:$B$74,0),MATCH($AA$60,$A$61:$H$61,0))*고양시_Modal_split!G$3 * 0.01</f>
        <v>5.0439091473673843</v>
      </c>
      <c r="AF70" s="207">
        <f>INDEX($A$61:$H$74,MATCH($L70,$B$61:$B$74,0),MATCH($AA$60,$A$61:$H$61,0))*고양시_Modal_split!H$3 * 0.01</f>
        <v>5.4825099427906351E-2</v>
      </c>
      <c r="AG70" s="207">
        <f>INDEX($A$61:$H$74,MATCH($L70,$B$61:$B$74,0),MATCH($AA$60,$A$61:$H$61,0))*고양시_Modal_split!I$3 * 0.01</f>
        <v>15.241377640957964</v>
      </c>
      <c r="AH70" s="207">
        <f>INDEX($A$61:$H$74,MATCH($L70,$B$61:$B$74,0),MATCH($AA$60,$A$61:$H$61,0))*고양시_Modal_split!J$3 * 0.01</f>
        <v>166.88760265854697</v>
      </c>
      <c r="AI70" s="207">
        <f>INDEX($A$61:$H$74,MATCH($L70,$B$61:$B$74,0),MATCH($AA$60,$A$61:$H$61,0))*고양시_Modal_split!K$3 * 0.01</f>
        <v>0.82237649141859537</v>
      </c>
      <c r="AJ70" s="207">
        <f>INDEX($A$61:$H$74,MATCH($L70,$B$61:$B$74,0),MATCH($AA$60,$A$61:$H$61,0))*고양시_Modal_split!L$3 * 0.01</f>
        <v>16.557180027227719</v>
      </c>
      <c r="AK70" s="207">
        <f>INDEX($A$61:$H$74,MATCH($L70,$B$61:$B$74,0),MATCH($AA$60,$A$61:$H$61,0))*고양시_Modal_split!M$3 * 0.01</f>
        <v>1.2609772868418461</v>
      </c>
      <c r="AL70" s="207">
        <f>INDEX($A$61:$H$74,MATCH($L70,$B$61:$B$74,0),MATCH($AA$60,$A$61:$H$61,0))*고양시_Modal_split!N$3 * 0.01</f>
        <v>0.54825099427906365</v>
      </c>
      <c r="AM70" s="207">
        <f>INDEX($A$61:$H$74,MATCH($L70,$B$61:$B$74,0),MATCH($AA$60,$A$61:$H$61,0))*고양시_Modal_split!O$3 * 0.01</f>
        <v>0.98685178970231435</v>
      </c>
      <c r="AN70" s="207">
        <f>INDEX($A$61:$H$74,MATCH($L70,$B$61:$B$74,0),MATCH($AA$60,$A$61:$H$61,0))*고양시_Modal_split!P$3 * 0.01</f>
        <v>548.25099427906355</v>
      </c>
      <c r="AO70" s="303">
        <f>INDEX($A$61:$H$74,MATCH($L70,$B$61:$B$74,0),MATCH($AO$60,$A$61:$H$61,0))*고양시_Modal_split!C$3 * 0.01</f>
        <v>6.804397294518276E-2</v>
      </c>
      <c r="AP70" s="303">
        <f>INDEX($A$61:$H$74,MATCH($L70,$B$61:$B$74,0),MATCH($AO$60,$A$61:$H$61,0))*고양시_Modal_split!D$3 * 0.01</f>
        <v>11.428957312899806</v>
      </c>
      <c r="AQ70" s="303">
        <f>INDEX($A$61:$H$74,MATCH($L70,$B$61:$B$74,0),MATCH($AO$60,$A$61:$H$61,0))*고양시_Modal_split!E$3 * 0.01</f>
        <v>1.3827507359217497</v>
      </c>
      <c r="AR70" s="303">
        <f>INDEX($A$61:$H$74,MATCH($L70,$B$61:$B$74,0),MATCH($AO$60,$A$61:$H$61,0))*고양시_Modal_split!F$3 * 0.01</f>
        <v>2.2284401139547358</v>
      </c>
      <c r="AS70" s="303">
        <f>INDEX($A$61:$H$74,MATCH($L70,$B$61:$B$74,0),MATCH($AO$60,$A$61:$H$61,0))*고양시_Modal_split!G$3 * 0.01</f>
        <v>0.22357305396274335</v>
      </c>
      <c r="AT70" s="303">
        <f>INDEX($A$61:$H$74,MATCH($L70,$B$61:$B$74,0),MATCH($AO$60,$A$61:$H$61,0))*고양시_Modal_split!H$3 * 0.01</f>
        <v>2.4301418908993849E-3</v>
      </c>
      <c r="AU70" s="303">
        <f>INDEX($A$61:$H$74,MATCH($L70,$B$61:$B$74,0),MATCH($AO$60,$A$61:$H$61,0))*고양시_Modal_split!I$3 * 0.01</f>
        <v>0.67557944567002892</v>
      </c>
      <c r="AV70" s="303">
        <f>INDEX($A$61:$H$74,MATCH($L70,$B$61:$B$74,0),MATCH($AO$60,$A$61:$H$61,0))*고양시_Modal_split!J$3 * 0.01</f>
        <v>7.3973519158977279</v>
      </c>
      <c r="AW70" s="303">
        <f>INDEX($A$61:$H$74,MATCH($L70,$B$61:$B$74,0),MATCH($AO$60,$A$61:$H$61,0))*고양시_Modal_split!K$3 * 0.01</f>
        <v>3.6452128363490766E-2</v>
      </c>
      <c r="AX70" s="303">
        <f>INDEX($A$61:$H$74,MATCH($L70,$B$61:$B$74,0),MATCH($AO$60,$A$61:$H$61,0))*고양시_Modal_split!L$3 * 0.01</f>
        <v>0.73390285105161412</v>
      </c>
      <c r="AY70" s="303">
        <f>INDEX($A$61:$H$74,MATCH($L70,$B$61:$B$74,0),MATCH($AO$60,$A$61:$H$61,0))*고양시_Modal_split!M$3 * 0.01</f>
        <v>5.5893263490685838E-2</v>
      </c>
      <c r="AZ70" s="303">
        <f>INDEX($A$61:$H$74,MATCH($L70,$B$61:$B$74,0),MATCH($AO$60,$A$61:$H$61,0))*고양시_Modal_split!N$3 * 0.01</f>
        <v>2.4301418908993847E-2</v>
      </c>
      <c r="BA70" s="207">
        <f>INDEX($A$61:$H$74,MATCH($L70,$B$61:$B$74,0),MATCH($AO$60,$A$61:$H$61,0))*고양시_Modal_split!O$3 * 0.01</f>
        <v>4.3742554036188923E-2</v>
      </c>
      <c r="BB70" s="207">
        <f>INDEX($A$61:$H$74,MATCH($L70,$B$61:$B$74,0),MATCH($AO$60,$A$61:$H$61,0))*고양시_Modal_split!P$3 * 0.01</f>
        <v>24.301418908993845</v>
      </c>
      <c r="BC70" s="207">
        <f>INDEX($A$61:$H$74,MATCH($L70,$B$61:$B$74,0),MATCH($BC$60,$A$61:$H$61,0))*고양시_Modal_split!C$3 * 0.01</f>
        <v>1.8452602832591978E-4</v>
      </c>
      <c r="BD70" s="207">
        <f>INDEX($A$61:$H$74,MATCH($L70,$B$61:$B$74,0),MATCH($BC$60,$A$61:$H$61,0))*고양시_Modal_split!D$3 * 0.01</f>
        <v>3.0993782543457173E-2</v>
      </c>
      <c r="BE70" s="207">
        <f>INDEX($A$61:$H$74,MATCH($L70,$B$61:$B$74,0),MATCH($BC$60,$A$61:$H$61,0))*고양시_Modal_split!E$3 * 0.01</f>
        <v>3.7498325041945839E-3</v>
      </c>
      <c r="BF70" s="207">
        <f>INDEX($A$61:$H$74,MATCH($L70,$B$61:$B$74,0),MATCH($BC$60,$A$61:$H$61,0))*고양시_Modal_split!F$3 * 0.01</f>
        <v>6.0432274276738729E-3</v>
      </c>
      <c r="BG70" s="207">
        <f>INDEX($A$61:$H$74,MATCH($L70,$B$61:$B$74,0),MATCH($BC$60,$A$61:$H$61,0))*고양시_Modal_split!G$3 * 0.01</f>
        <v>6.062998073565935E-4</v>
      </c>
      <c r="BH70" s="207">
        <f>INDEX($A$61:$H$74,MATCH($L70,$B$61:$B$74,0),MATCH($BC$60,$A$61:$H$61,0))*고양시_Modal_split!H$3 * 0.01</f>
        <v>6.5902152973542782E-6</v>
      </c>
      <c r="BI70" s="207">
        <f>INDEX($A$61:$H$74,MATCH($L70,$B$61:$B$74,0),MATCH($BC$60,$A$61:$H$61,0))*고양시_Modal_split!I$3 * 0.01</f>
        <v>1.8320798526644891E-3</v>
      </c>
      <c r="BJ70" s="207">
        <f>INDEX($A$61:$H$74,MATCH($L70,$B$61:$B$74,0),MATCH($BC$60,$A$61:$H$61,0))*고양시_Modal_split!J$3 * 0.01</f>
        <v>2.0060615365146424E-2</v>
      </c>
      <c r="BK70" s="207">
        <f>INDEX($A$61:$H$74,MATCH($L70,$B$61:$B$74,0),MATCH($BC$60,$A$61:$H$61,0))*고양시_Modal_split!K$3 * 0.01</f>
        <v>9.8853229460314163E-5</v>
      </c>
      <c r="BL70" s="207">
        <f>INDEX($A$61:$H$74,MATCH($L70,$B$61:$B$74,0),MATCH($BC$60,$A$61:$H$61,0))*고양시_Modal_split!L$3 * 0.01</f>
        <v>1.9902450198009919E-3</v>
      </c>
      <c r="BM70" s="207">
        <f>INDEX($A$61:$H$74,MATCH($L70,$B$61:$B$74,0),MATCH($BC$60,$A$61:$H$61,0))*고양시_Modal_split!M$3 * 0.01</f>
        <v>1.5157495183914838E-4</v>
      </c>
      <c r="BN70" s="207">
        <f>INDEX($A$61:$H$74,MATCH($L70,$B$61:$B$74,0),MATCH($BC$60,$A$61:$H$61,0))*고양시_Modal_split!N$3 * 0.01</f>
        <v>6.5902152973542789E-5</v>
      </c>
      <c r="BO70" s="207">
        <f>INDEX($A$61:$H$74,MATCH($L70,$B$61:$B$74,0),MATCH($BC$60,$A$61:$H$61,0))*고양시_Modal_split!O$3 * 0.01</f>
        <v>1.18623875352377E-4</v>
      </c>
      <c r="BP70" s="207">
        <f>INDEX($A$61:$H$74,MATCH($L70,$B$61:$B$74,0),MATCH($BC$60,$A$61:$H$61,0))*고양시_Modal_split!P$3 * 0.01</f>
        <v>6.590215297354278E-2</v>
      </c>
      <c r="BQ70" s="207">
        <f>INDEX($A$61:$H$74,MATCH($L70,$B$61:$B$74,0),MATCH($BQ$60,$A$61:$H$61,0))*고양시_Modal_split!C$3 * 0.01</f>
        <v>5.2282374692343755E-4</v>
      </c>
      <c r="BR70" s="207">
        <f>INDEX($A$61:$H$74,MATCH($L70,$B$61:$B$74,0),MATCH($BQ$60,$A$61:$H$61,0))*고양시_Modal_split!D$3 * 0.01</f>
        <v>8.7815717206461683E-2</v>
      </c>
      <c r="BS70" s="207">
        <f>INDEX($A$61:$H$74,MATCH($L70,$B$61:$B$74,0),MATCH($BQ$60,$A$61:$H$61,0))*고양시_Modal_split!E$3 * 0.01</f>
        <v>1.0624525428551284E-2</v>
      </c>
      <c r="BT70" s="207">
        <f>INDEX($A$61:$H$74,MATCH($L70,$B$61:$B$74,0),MATCH($BQ$60,$A$61:$H$61,0))*고양시_Modal_split!F$3 * 0.01</f>
        <v>1.7122477711742582E-2</v>
      </c>
      <c r="BU70" s="207">
        <f>INDEX($A$61:$H$74,MATCH($L70,$B$61:$B$74,0),MATCH($BQ$60,$A$61:$H$61,0))*고양시_Modal_split!G$3 * 0.01</f>
        <v>1.7178494541770092E-3</v>
      </c>
      <c r="BV70" s="207">
        <f>INDEX($A$61:$H$74,MATCH($L70,$B$61:$B$74,0),MATCH($BQ$60,$A$61:$H$61,0))*고양시_Modal_split!H$3 * 0.01</f>
        <v>1.8672276675837057E-5</v>
      </c>
      <c r="BW70" s="207">
        <f>INDEX($A$61:$H$74,MATCH($L70,$B$61:$B$74,0),MATCH($BQ$60,$A$61:$H$61,0))*고양시_Modal_split!I$3 * 0.01</f>
        <v>5.1908929158827012E-3</v>
      </c>
      <c r="BX70" s="207">
        <f>INDEX($A$61:$H$74,MATCH($L70,$B$61:$B$74,0),MATCH($BQ$60,$A$61:$H$61,0))*고양시_Modal_split!J$3 * 0.01</f>
        <v>5.683841020124801E-2</v>
      </c>
      <c r="BY70" s="207">
        <f>INDEX($A$61:$H$74,MATCH($L70,$B$61:$B$74,0),MATCH($BQ$60,$A$61:$H$61,0))*고양시_Modal_split!K$3 * 0.01</f>
        <v>2.8008415013755587E-4</v>
      </c>
      <c r="BZ70" s="207">
        <f>INDEX($A$61:$H$74,MATCH($L70,$B$61:$B$74,0),MATCH($BQ$60,$A$61:$H$61,0))*고양시_Modal_split!L$3 * 0.01</f>
        <v>5.6390275561027919E-3</v>
      </c>
      <c r="CA70" s="207">
        <f>INDEX($A$61:$H$74,MATCH($L70,$B$61:$B$74,0),MATCH($BQ$60,$A$61:$H$61,0))*고양시_Modal_split!M$3 * 0.01</f>
        <v>4.2946236354425229E-4</v>
      </c>
      <c r="CB70" s="207">
        <f>INDEX($A$61:$H$74,MATCH($L70,$B$61:$B$74,0),MATCH($BQ$60,$A$61:$H$61,0))*고양시_Modal_split!N$3 * 0.01</f>
        <v>1.8672276675837059E-4</v>
      </c>
      <c r="CC70" s="207">
        <f>INDEX($A$61:$H$74,MATCH($L70,$B$61:$B$74,0),MATCH($BQ$60,$A$61:$H$61,0))*고양시_Modal_split!O$3 * 0.01</f>
        <v>3.3610098016506704E-4</v>
      </c>
      <c r="CD70" s="207">
        <f>INDEX($A$61:$H$74,MATCH($L70,$B$61:$B$74,0),MATCH($BQ$60,$A$61:$H$61,0))*고양시_Modal_split!P$3 * 0.01</f>
        <v>0.18672276675837057</v>
      </c>
      <c r="CE70" s="304">
        <f t="shared" si="31"/>
        <v>1.8012662026724902</v>
      </c>
      <c r="CF70" s="304">
        <f t="shared" si="13"/>
        <v>302.54839111316863</v>
      </c>
      <c r="CG70" s="304">
        <f t="shared" si="14"/>
        <v>36.604302475737391</v>
      </c>
      <c r="CH70" s="304">
        <f t="shared" si="15"/>
        <v>58.991468137524052</v>
      </c>
      <c r="CI70" s="304">
        <f t="shared" si="16"/>
        <v>5.9184460944953248</v>
      </c>
      <c r="CJ70" s="304">
        <f t="shared" si="17"/>
        <v>6.4330935809731774E-2</v>
      </c>
      <c r="CK70" s="304">
        <f t="shared" si="18"/>
        <v>17.884000155105436</v>
      </c>
      <c r="CL70" s="304">
        <f t="shared" si="19"/>
        <v>195.82336860482357</v>
      </c>
      <c r="CM70" s="304">
        <f t="shared" si="20"/>
        <v>0.964964037145977</v>
      </c>
      <c r="CN70" s="304">
        <f t="shared" si="21"/>
        <v>19.427942614539003</v>
      </c>
      <c r="CO70" s="304">
        <f t="shared" si="22"/>
        <v>1.4796115236238312</v>
      </c>
      <c r="CP70" s="304">
        <f t="shared" si="23"/>
        <v>0.64330935809731804</v>
      </c>
      <c r="CQ70" s="304">
        <f t="shared" si="24"/>
        <v>1.157956844575172</v>
      </c>
      <c r="CR70" s="304">
        <f t="shared" si="25"/>
        <v>643.30935809731795</v>
      </c>
      <c r="CS70" s="305">
        <f t="shared" si="32"/>
        <v>0</v>
      </c>
      <c r="CV70" s="267" t="s">
        <v>47</v>
      </c>
      <c r="CW70" s="267" t="s">
        <v>47</v>
      </c>
      <c r="CX70" s="267">
        <f>INDEX($M$60:$Z$74,MATCH($CW70,$L$60:$L$74,0),MATCH(CX$61,$M$61:$Z$61,0))/INDEX(고양시_재차인원!$D$4:$H$35,MATCH("고양시",고양시_재차인원!$B$4:$B$35,0),MATCH($CX$60,고양시_재차인원!$D$4:$H$4,0))</f>
        <v>29.605519367031519</v>
      </c>
      <c r="CY70" s="267">
        <f>INDEX($M$60:$Z$74,MATCH($CW70,$L$60:$L$74,0),MATCH(CY$61,$M$61:$Z$61,0))/INDEX(고양시_재차인원!$K$4:$O$20,MATCH("경기도",고양시_재차인원!$K$4:$K$20,0),MATCH($CY$61,고양시_재차인원!$K$4:$O$4,0))</f>
        <v>2.4489169847005421E-4</v>
      </c>
      <c r="CZ70" s="267">
        <f>INDEX($M$60:$Z$74,MATCH($CW70,$L$60:$L$74,0),MATCH(CZ$61,$M$61:$Z$61,0))/INDEX(고양시_재차인원!$K$4:$O$20,MATCH("경기도",고양시_재차인원!$K$4:$K$20,0),MATCH($CZ$61,고양시_재차인원!$K$4:$O$4,0))</f>
        <v>6.8079892174675069E-2</v>
      </c>
      <c r="DA70" s="267">
        <f>INDEX($M$60:$Z$74,MATCH($CW70,$L$60:$L$74,0),MATCH(DA$61,$M$61:$Z$61,0))/INDEX(고양시_재차인원!$D$4:$H$35,MATCH("고양시",고양시_재차인원!$B$4:$B$35,0),MATCH($CX$60,고양시_재차인원!$D$4:$H$4,0))</f>
        <v>1.9010986282890747</v>
      </c>
      <c r="DB70" s="267">
        <f>INDEX($AA$60:$AN$74,MATCH($CW70,$L$60:$L$74,0),MATCH(DB$61,$AA$61:$AN$61,0))/INDEX(고양시_재차인원!$D$4:$H$35,MATCH("고양시",고양시_재차인원!$B$4:$B$35,0),MATCH($DB$60,고양시_재차인원!$D$4:$H$4,0))</f>
        <v>182.86698057407349</v>
      </c>
      <c r="DC70" s="267">
        <f>INDEX($AA$60:$AN$74,MATCH($CW70,$L$60:$L$74,0),MATCH(DC$61,$AA$61:$AN$61,0))/INDEX(고양시_재차인원!$K$4:$O$20,MATCH("경기도",고양시_재차인원!$K$4:$K$20,0),MATCH($DC$61,고양시_재차인원!$K$4:$O$4,0))</f>
        <v>1.9043105046164068E-3</v>
      </c>
      <c r="DD70" s="267">
        <f>INDEX($AA$60:$AN$74,MATCH($CW70,$L$60:$L$74,0),MATCH(DD$61,$AA$61:$AN$61,0))/INDEX(고양시_재차인원!$K$4:$O$20,MATCH("경기도",고양시_재차인원!$K$4:$K$20,0),MATCH($DD$61,고양시_재차인원!$K$4:$O$4,0))</f>
        <v>0.52939832028336109</v>
      </c>
      <c r="DE70" s="267">
        <f>INDEX($AA$60:$AN$74,MATCH($CW70,$L$60:$L$74,0),MATCH(DE$61,$AA$61:$AN$61,0))/INDEX(고양시_재차인원!$D$4:$H$35,MATCH("고양시",고양시_재차인원!$B$4:$B$35,0),MATCH($DB$60,고양시_재차인원!$D$4:$H$4,0))</f>
        <v>11.74268087037427</v>
      </c>
      <c r="DF70" s="267">
        <f>INDEX($AO$60:$BB$74,MATCH($CW70,$L$60:$L$74,0),MATCH(DF$61,$AO$61:$BB$61,0))/INDEX(고양시_재차인원!$D$4:$H$35,MATCH("고양시",고양시_재차인원!$B$4:$B$35,0),MATCH($DF$60,고양시_재차인원!$D$4:$H$4,0))</f>
        <v>8.7915056253075434</v>
      </c>
      <c r="DG70" s="267">
        <f>INDEX($AO$60:$BB$74,MATCH($CW70,$L$60:$L$74,0),MATCH(DG$61,$AO$61:$BB$61,0))/INDEX(고양시_재차인원!$K$4:$O$20,MATCH("경기도",고양시_재차인원!$K$4:$K$20,0),MATCH($DG$61,고양시_재차인원!$K$4:$O$4,0))</f>
        <v>8.4409235529676448E-5</v>
      </c>
      <c r="DH70" s="267">
        <f>INDEX($AO$60:$BB$74,MATCH($CW70,$L$60:$L$74,0),MATCH(DH$61,$AO$61:$BB$61,0))/INDEX(고양시_재차인원!$K$4:$O$20,MATCH("경기도",고양시_재차인원!$K$4:$K$20,0),MATCH($DH$61,고양시_재차인원!$K$4:$O$4,0))</f>
        <v>2.346576747725005E-2</v>
      </c>
      <c r="DI70" s="267">
        <f>INDEX($AO$60:$BB$74,MATCH($CW70,$L$60:$L$74,0),MATCH(DI$61,$AO$61:$BB$61,0))/INDEX(고양시_재차인원!$D$4:$H$35,MATCH("고양시",고양시_재차인원!$B$4:$B$35,0),MATCH($DF$60,고양시_재차인원!$D$4:$H$4,0))</f>
        <v>0.56454065465508774</v>
      </c>
      <c r="DJ70" s="267">
        <f>INDEX($BC$60:$BP$74,MATCH($CW70,$L$60:$L$74,0),MATCH(DJ$61,$BC$61:$BP$61,0))/INDEX(고양시_재차인원!$D$4:$H$35,MATCH("고양시",고양시_재차인원!$B$4:$B$35,0),MATCH($DJ$60,고양시_재차인원!$D$4:$H$4,0))</f>
        <v>2.2789545987836154E-2</v>
      </c>
      <c r="DK70" s="267">
        <f>INDEX($BC$60:$BP$74,MATCH($CW70,$L$60:$L$74,0),MATCH(DK$61,$BC$61:$BP$61,0))/INDEX(고양시_재차인원!$K$4:$O$20,MATCH("경기도",고양시_재차인원!$K$4:$K$20,0),MATCH($DK$61,고양시_재차인원!$K$4:$O$4,0))</f>
        <v>2.289064014364112E-7</v>
      </c>
      <c r="DL70" s="267">
        <f>INDEX($BC$60:$BP$74,MATCH($CW70,$L$60:$L$74,0),MATCH(DL$61,$BC$61:$BP$61,0))/INDEX(고양시_재차인원!$K$4:$O$20,MATCH("경기도",고양시_재차인원!$K$4:$K$20,0),MATCH($DL$61,고양시_재차인원!$K$4:$O$4,0))</f>
        <v>6.363597959932231E-5</v>
      </c>
      <c r="DM70" s="267">
        <f>INDEX($BC$60:$BP$74,MATCH($CW70,$L$60:$L$74,0),MATCH(DM$61,$BC$61:$BP$61,0))/INDEX(고양시_재차인원!$D$4:$H$35,MATCH("고양시",고양시_재차인원!$B$4:$B$35,0),MATCH($DJ$60,고양시_재차인원!$D$4:$H$4,0))</f>
        <v>1.4634154557360234E-3</v>
      </c>
      <c r="DN70" s="267">
        <f>INDEX($BQ$60:$CD$74,MATCH($CW70,$L$60:$L$74,0),MATCH(DN$61,$BQ$61:$CD$61,0))/INDEX(고양시_재차인원!$D$4:$H$35,MATCH("고양시",고양시_재차인원!$B$4:$B$35,0),MATCH($DN$60,고양시_재차인원!$D$4:$H$4,0))</f>
        <v>6.969501365592197E-2</v>
      </c>
      <c r="DO70" s="267">
        <f>INDEX($BQ$60:$CD$74,MATCH($CW70,$L$60:$L$74,0),MATCH(DO$61,$BQ$61:$CD$61,0))/INDEX(고양시_재차인원!$K$4:$O$20,MATCH("경기도",고양시_재차인원!$K$4:$K$20,0),MATCH($DO$61,고양시_재차인원!$K$4:$O$4,0))</f>
        <v>6.4856813740316276E-7</v>
      </c>
      <c r="DP70" s="267">
        <f>INDEX($BQ$60:$CD$74,MATCH($CW70,$L$60:$L$74,0),MATCH(DP$61,$BQ$61:$CD$61,0))/INDEX(고양시_재차인원!$K$4:$O$20,MATCH("경기도",고양시_재차인원!$K$4:$K$20,0),MATCH($DP$61,고양시_재차인원!$K$4:$O$4,0))</f>
        <v>1.8030194219807925E-4</v>
      </c>
      <c r="DQ70" s="267">
        <f>INDEX($BQ$60:$CD$74,MATCH($CW70,$L$60:$L$74,0),MATCH(DQ$61,$BQ$61:$CD$61,0))/INDEX(고양시_재차인원!$D$4:$H$35,MATCH("고양시",고양시_재차인원!$B$4:$B$35,0),MATCH($DN$60,고양시_재차인원!$D$4:$H$4,0))</f>
        <v>4.4754186953196761E-3</v>
      </c>
      <c r="DR70" s="270">
        <f t="shared" si="33"/>
        <v>221.35649012605631</v>
      </c>
      <c r="DS70" s="270">
        <f t="shared" si="26"/>
        <v>2.2344889131549772E-3</v>
      </c>
      <c r="DT70" s="270">
        <f t="shared" si="27"/>
        <v>0.6211879178570836</v>
      </c>
      <c r="DU70" s="270">
        <f t="shared" si="28"/>
        <v>14.21425898746949</v>
      </c>
      <c r="DW70" s="278" t="s">
        <v>47</v>
      </c>
      <c r="DX70" s="278" t="s">
        <v>47</v>
      </c>
      <c r="DY70" s="281">
        <f t="shared" si="41"/>
        <v>235.57074911352581</v>
      </c>
      <c r="DZ70" s="281">
        <f t="shared" si="42"/>
        <v>0.62342240677023864</v>
      </c>
      <c r="EB70" s="278" t="s">
        <v>169</v>
      </c>
      <c r="EC70" s="278" t="s">
        <v>169</v>
      </c>
      <c r="ED70" s="281">
        <f t="shared" si="45"/>
        <v>377.94412166838652</v>
      </c>
      <c r="EE70" s="281">
        <f t="shared" si="44"/>
        <v>1.0002041205957215</v>
      </c>
      <c r="EK70" s="420" t="s">
        <v>168</v>
      </c>
      <c r="EL70" s="420" t="s">
        <v>168</v>
      </c>
      <c r="EM70" s="420" t="s">
        <v>223</v>
      </c>
      <c r="EN70" s="420">
        <v>69072.016600000003</v>
      </c>
      <c r="EO70" s="420">
        <v>0.41000415063214324</v>
      </c>
      <c r="EP70" s="421">
        <v>849009</v>
      </c>
      <c r="EQ70" s="422">
        <f t="shared" si="37"/>
        <v>617.25172074036141</v>
      </c>
      <c r="ER70" s="422">
        <f t="shared" si="38"/>
        <v>1.6335158536240044</v>
      </c>
      <c r="ES70">
        <v>0</v>
      </c>
      <c r="EU70" s="306" t="s">
        <v>168</v>
      </c>
      <c r="EV70" s="306" t="s">
        <v>168</v>
      </c>
      <c r="EW70" s="306" t="s">
        <v>223</v>
      </c>
      <c r="EX70" s="306">
        <v>69072.016600000003</v>
      </c>
      <c r="EY70" s="306">
        <v>0.41000415063214324</v>
      </c>
      <c r="EZ70" s="307">
        <v>849009</v>
      </c>
      <c r="FA70" s="308">
        <f t="shared" si="39"/>
        <v>617.25172074036141</v>
      </c>
      <c r="FB70" s="308">
        <f t="shared" si="30"/>
        <v>1.6335158536240044</v>
      </c>
      <c r="FD70" s="101"/>
      <c r="FE70" s="101"/>
      <c r="FF70" s="101"/>
      <c r="FG70" s="101"/>
      <c r="FH70" s="101"/>
      <c r="FI70" s="374"/>
      <c r="FJ70" s="404"/>
      <c r="FK70" s="404"/>
    </row>
    <row r="71" spans="1:167" ht="25">
      <c r="A71" s="205" t="s">
        <v>169</v>
      </c>
      <c r="B71" s="205" t="s">
        <v>169</v>
      </c>
      <c r="C71" s="201">
        <f>$L38*KTDB_TripDistribution_2045!L$12</f>
        <v>113.11545848770781</v>
      </c>
      <c r="D71" s="201">
        <f>$L38*KTDB_TripDistribution_2045!M$12</f>
        <v>879.60088961114127</v>
      </c>
      <c r="E71" s="201">
        <f>$L38*KTDB_TripDistribution_2045!N$12</f>
        <v>38.988620019325843</v>
      </c>
      <c r="F71" s="201">
        <f>$L38*KTDB_TripDistribution_2045!O$12</f>
        <v>0.10573185089986695</v>
      </c>
      <c r="G71" s="201">
        <f>$L38*KTDB_TripDistribution_2045!P$12</f>
        <v>0.29957357754962194</v>
      </c>
      <c r="H71" s="201">
        <f>$L38*KTDB_TripDistribution_2045!Q$12</f>
        <v>1032.1102735466245</v>
      </c>
      <c r="I71" s="56"/>
      <c r="J71" s="56"/>
      <c r="K71" s="206" t="s">
        <v>169</v>
      </c>
      <c r="L71" s="206" t="s">
        <v>169</v>
      </c>
      <c r="M71" s="206">
        <f>INDEX($A$61:$H$74,MATCH($L71,$B$61:$B$74,0),MATCH($M$60,$A$61:$H$61,0))*고양시_Modal_split!C$3 * 0.01</f>
        <v>0.31672328376558184</v>
      </c>
      <c r="N71" s="206">
        <f>INDEX($A$61:$H$74,MATCH($L71,$B$61:$B$74,0),MATCH($M$60,$A$61:$H$61,0))*고양시_Modal_split!D$3 * 0.01</f>
        <v>53.198200126768988</v>
      </c>
      <c r="O71" s="206">
        <f>INDEX($A$61:$H$74,MATCH($L71,$B$61:$B$74,0),MATCH($M$60,$A$61:$H$61,0))*고양시_Modal_split!E$3 * 0.01</f>
        <v>6.4362695879505738</v>
      </c>
      <c r="P71" s="206">
        <f>INDEX($A$61:$H$74,MATCH($L71,$B$61:$B$74,0),MATCH($M$60,$A$61:$H$61,0))*고양시_Modal_split!F$3 * 0.01</f>
        <v>10.372687543322806</v>
      </c>
      <c r="Q71" s="206">
        <f>INDEX($A$61:$H$74,MATCH($L71,$B$61:$B$74,0),MATCH($M$60,$A$61:$H$61,0))*고양시_Modal_split!G$3 * 0.01</f>
        <v>1.0406622180869118</v>
      </c>
      <c r="R71" s="206">
        <f>INDEX($A$61:$H$74,MATCH($L71,$B$61:$B$74,0),MATCH($M$60,$A$61:$H$61,0))*고양시_Modal_split!H$3 * 0.01</f>
        <v>1.131154584877078E-2</v>
      </c>
      <c r="S71" s="206">
        <f>INDEX($A$61:$H$74,MATCH($L71,$B$61:$B$74,0),MATCH($M$60,$A$61:$H$61,0))*고양시_Modal_split!I$3 * 0.01</f>
        <v>3.1446097459582769</v>
      </c>
      <c r="T71" s="206">
        <f>INDEX($A$61:$H$74,MATCH($L71,$B$61:$B$74,0),MATCH($M$60,$A$61:$H$61,0))*고양시_Modal_split!J$3 * 0.01</f>
        <v>34.432345563658259</v>
      </c>
      <c r="U71" s="206">
        <f>INDEX($A$61:$H$74,MATCH($L71,$B$61:$B$74,0),MATCH($M$60,$A$61:$H$61,0))*고양시_Modal_split!K$3 * 0.01</f>
        <v>0.16967318773156173</v>
      </c>
      <c r="V71" s="206">
        <f>INDEX($A$61:$H$74,MATCH($L71,$B$61:$B$74,0),MATCH($M$60,$A$61:$H$61,0))*고양시_Modal_split!L$3 * 0.01</f>
        <v>3.4160868463287763</v>
      </c>
      <c r="W71" s="206">
        <f>INDEX($A$61:$H$74,MATCH($L71,$B$61:$B$74,0),MATCH($M$60,$A$61:$H$61,0))*고양시_Modal_split!M$3 * 0.01</f>
        <v>0.26016555452172796</v>
      </c>
      <c r="X71" s="206">
        <f>INDEX($A$61:$H$74,MATCH($L71,$B$61:$B$74,0),MATCH($M$60,$A$61:$H$61,0))*고양시_Modal_split!N$3 * 0.01</f>
        <v>0.11311545848770782</v>
      </c>
      <c r="Y71" s="206">
        <f>INDEX($A$61:$H$74,MATCH($L71,$B$61:$B$74,0),MATCH($M$60,$A$61:$H$61,0))*고양시_Modal_split!O$3 * 0.01</f>
        <v>0.20360782527787408</v>
      </c>
      <c r="Z71" s="209">
        <f>INDEX($A$61:$H$74,MATCH($L71,$B$61:$B$74,0),MATCH($M$60,$A$61:$H$61,0))*고양시_Modal_split!P$3 * 0.01</f>
        <v>113.11545848770783</v>
      </c>
      <c r="AA71" s="207">
        <f>INDEX($A$61:$H$74,MATCH($L71,$B$61:$B$74,0),MATCH($AA$60,$A$61:$H$61,0))*고양시_Modal_split!C$3 * 0.01</f>
        <v>2.4628824909111953</v>
      </c>
      <c r="AB71" s="207">
        <f>INDEX($A$61:$H$74,MATCH($L71,$B$61:$B$74,0),MATCH($AA$60,$A$61:$H$61,0))*고양시_Modal_split!D$3 * 0.01</f>
        <v>413.67629838411972</v>
      </c>
      <c r="AC71" s="207">
        <f>INDEX($A$61:$H$74,MATCH($L71,$B$61:$B$74,0),MATCH($AA$60,$A$61:$H$61,0))*고양시_Modal_split!E$3 * 0.01</f>
        <v>50.04929061887394</v>
      </c>
      <c r="AD71" s="207">
        <f>INDEX($A$61:$H$74,MATCH($L71,$B$61:$B$74,0),MATCH($AA$60,$A$61:$H$61,0))*고양시_Modal_split!F$3 * 0.01</f>
        <v>80.659401577341654</v>
      </c>
      <c r="AE71" s="207">
        <f>INDEX($A$61:$H$74,MATCH($L71,$B$61:$B$74,0),MATCH($AA$60,$A$61:$H$61,0))*고양시_Modal_split!G$3 * 0.01</f>
        <v>8.0923281844224988</v>
      </c>
      <c r="AF71" s="207">
        <f>INDEX($A$61:$H$74,MATCH($L71,$B$61:$B$74,0),MATCH($AA$60,$A$61:$H$61,0))*고양시_Modal_split!H$3 * 0.01</f>
        <v>8.7960088961114138E-2</v>
      </c>
      <c r="AG71" s="207">
        <f>INDEX($A$61:$H$74,MATCH($L71,$B$61:$B$74,0),MATCH($AA$60,$A$61:$H$61,0))*고양시_Modal_split!I$3 * 0.01</f>
        <v>24.452904731189726</v>
      </c>
      <c r="AH71" s="207">
        <f>INDEX($A$61:$H$74,MATCH($L71,$B$61:$B$74,0),MATCH($AA$60,$A$61:$H$61,0))*고양시_Modal_split!J$3 * 0.01</f>
        <v>267.75051079763142</v>
      </c>
      <c r="AI71" s="207">
        <f>INDEX($A$61:$H$74,MATCH($L71,$B$61:$B$74,0),MATCH($AA$60,$A$61:$H$61,0))*고양시_Modal_split!K$3 * 0.01</f>
        <v>1.3194013344167119</v>
      </c>
      <c r="AJ71" s="207">
        <f>INDEX($A$61:$H$74,MATCH($L71,$B$61:$B$74,0),MATCH($AA$60,$A$61:$H$61,0))*고양시_Modal_split!L$3 * 0.01</f>
        <v>26.563946866256465</v>
      </c>
      <c r="AK71" s="207">
        <f>INDEX($A$61:$H$74,MATCH($L71,$B$61:$B$74,0),MATCH($AA$60,$A$61:$H$61,0))*고양시_Modal_split!M$3 * 0.01</f>
        <v>2.0230820461056247</v>
      </c>
      <c r="AL71" s="207">
        <f>INDEX($A$61:$H$74,MATCH($L71,$B$61:$B$74,0),MATCH($AA$60,$A$61:$H$61,0))*고양시_Modal_split!N$3 * 0.01</f>
        <v>0.87960088961114136</v>
      </c>
      <c r="AM71" s="207">
        <f>INDEX($A$61:$H$74,MATCH($L71,$B$61:$B$74,0),MATCH($AA$60,$A$61:$H$61,0))*고양시_Modal_split!O$3 * 0.01</f>
        <v>1.5832816013000541</v>
      </c>
      <c r="AN71" s="207">
        <f>INDEX($A$61:$H$74,MATCH($L71,$B$61:$B$74,0),MATCH($AA$60,$A$61:$H$61,0))*고양시_Modal_split!P$3 * 0.01</f>
        <v>879.60088961114138</v>
      </c>
      <c r="AO71" s="303">
        <f>INDEX($A$61:$H$74,MATCH($L71,$B$61:$B$74,0),MATCH($AO$60,$A$61:$H$61,0))*고양시_Modal_split!C$3 * 0.01</f>
        <v>0.10916813605411235</v>
      </c>
      <c r="AP71" s="303">
        <f>INDEX($A$61:$H$74,MATCH($L71,$B$61:$B$74,0),MATCH($AO$60,$A$61:$H$61,0))*고양시_Modal_split!D$3 * 0.01</f>
        <v>18.336347995088946</v>
      </c>
      <c r="AQ71" s="303">
        <f>INDEX($A$61:$H$74,MATCH($L71,$B$61:$B$74,0),MATCH($AO$60,$A$61:$H$61,0))*고양시_Modal_split!E$3 * 0.01</f>
        <v>2.2184524790996405</v>
      </c>
      <c r="AR71" s="303">
        <f>INDEX($A$61:$H$74,MATCH($L71,$B$61:$B$74,0),MATCH($AO$60,$A$61:$H$61,0))*고양시_Modal_split!F$3 * 0.01</f>
        <v>3.57525645577218</v>
      </c>
      <c r="AS71" s="303">
        <f>INDEX($A$61:$H$74,MATCH($L71,$B$61:$B$74,0),MATCH($AO$60,$A$61:$H$61,0))*고양시_Modal_split!G$3 * 0.01</f>
        <v>0.35869530417779771</v>
      </c>
      <c r="AT71" s="303">
        <f>INDEX($A$61:$H$74,MATCH($L71,$B$61:$B$74,0),MATCH($AO$60,$A$61:$H$61,0))*고양시_Modal_split!H$3 * 0.01</f>
        <v>3.8988620019325842E-3</v>
      </c>
      <c r="AU71" s="303">
        <f>INDEX($A$61:$H$74,MATCH($L71,$B$61:$B$74,0),MATCH($AO$60,$A$61:$H$61,0))*고양시_Modal_split!I$3 * 0.01</f>
        <v>1.0838836365372584</v>
      </c>
      <c r="AV71" s="303">
        <f>INDEX($A$61:$H$74,MATCH($L71,$B$61:$B$74,0),MATCH($AO$60,$A$61:$H$61,0))*고양시_Modal_split!J$3 * 0.01</f>
        <v>11.868135933882787</v>
      </c>
      <c r="AW71" s="303">
        <f>INDEX($A$61:$H$74,MATCH($L71,$B$61:$B$74,0),MATCH($AO$60,$A$61:$H$61,0))*고양시_Modal_split!K$3 * 0.01</f>
        <v>5.8482930028988765E-2</v>
      </c>
      <c r="AX71" s="303">
        <f>INDEX($A$61:$H$74,MATCH($L71,$B$61:$B$74,0),MATCH($AO$60,$A$61:$H$61,0))*고양시_Modal_split!L$3 * 0.01</f>
        <v>1.1774563245836405</v>
      </c>
      <c r="AY71" s="303">
        <f>INDEX($A$61:$H$74,MATCH($L71,$B$61:$B$74,0),MATCH($AO$60,$A$61:$H$61,0))*고양시_Modal_split!M$3 * 0.01</f>
        <v>8.9673826044449428E-2</v>
      </c>
      <c r="AZ71" s="303">
        <f>INDEX($A$61:$H$74,MATCH($L71,$B$61:$B$74,0),MATCH($AO$60,$A$61:$H$61,0))*고양시_Modal_split!N$3 * 0.01</f>
        <v>3.8988620019325848E-2</v>
      </c>
      <c r="BA71" s="207">
        <f>INDEX($A$61:$H$74,MATCH($L71,$B$61:$B$74,0),MATCH($AO$60,$A$61:$H$61,0))*고양시_Modal_split!O$3 * 0.01</f>
        <v>7.0179516034786518E-2</v>
      </c>
      <c r="BB71" s="207">
        <f>INDEX($A$61:$H$74,MATCH($L71,$B$61:$B$74,0),MATCH($AO$60,$A$61:$H$61,0))*고양시_Modal_split!P$3 * 0.01</f>
        <v>38.988620019325843</v>
      </c>
      <c r="BC71" s="207">
        <f>INDEX($A$61:$H$74,MATCH($L71,$B$61:$B$74,0),MATCH($BC$60,$A$61:$H$61,0))*고양시_Modal_split!C$3 * 0.01</f>
        <v>2.9604918251962745E-4</v>
      </c>
      <c r="BD71" s="207">
        <f>INDEX($A$61:$H$74,MATCH($L71,$B$61:$B$74,0),MATCH($BC$60,$A$61:$H$61,0))*고양시_Modal_split!D$3 * 0.01</f>
        <v>4.9725689478207429E-2</v>
      </c>
      <c r="BE71" s="207">
        <f>INDEX($A$61:$H$74,MATCH($L71,$B$61:$B$74,0),MATCH($BC$60,$A$61:$H$61,0))*고양시_Modal_split!E$3 * 0.01</f>
        <v>6.0161423162024283E-3</v>
      </c>
      <c r="BF71" s="207">
        <f>INDEX($A$61:$H$74,MATCH($L71,$B$61:$B$74,0),MATCH($BC$60,$A$61:$H$61,0))*고양시_Modal_split!F$3 * 0.01</f>
        <v>9.6956107275177998E-3</v>
      </c>
      <c r="BG71" s="207">
        <f>INDEX($A$61:$H$74,MATCH($L71,$B$61:$B$74,0),MATCH($BC$60,$A$61:$H$61,0))*고양시_Modal_split!G$3 * 0.01</f>
        <v>9.7273302827877584E-4</v>
      </c>
      <c r="BH71" s="207">
        <f>INDEX($A$61:$H$74,MATCH($L71,$B$61:$B$74,0),MATCH($BC$60,$A$61:$H$61,0))*고양시_Modal_split!H$3 * 0.01</f>
        <v>1.0573185089986695E-5</v>
      </c>
      <c r="BI71" s="207">
        <f>INDEX($A$61:$H$74,MATCH($L71,$B$61:$B$74,0),MATCH($BC$60,$A$61:$H$61,0))*고양시_Modal_split!I$3 * 0.01</f>
        <v>2.9393454550163014E-3</v>
      </c>
      <c r="BJ71" s="207">
        <f>INDEX($A$61:$H$74,MATCH($L71,$B$61:$B$74,0),MATCH($BC$60,$A$61:$H$61,0))*고양시_Modal_split!J$3 * 0.01</f>
        <v>3.2184775413919502E-2</v>
      </c>
      <c r="BK71" s="207">
        <f>INDEX($A$61:$H$74,MATCH($L71,$B$61:$B$74,0),MATCH($BC$60,$A$61:$H$61,0))*고양시_Modal_split!K$3 * 0.01</f>
        <v>1.5859777634980043E-4</v>
      </c>
      <c r="BL71" s="207">
        <f>INDEX($A$61:$H$74,MATCH($L71,$B$61:$B$74,0),MATCH($BC$60,$A$61:$H$61,0))*고양시_Modal_split!L$3 * 0.01</f>
        <v>3.1931018971759818E-3</v>
      </c>
      <c r="BM71" s="207">
        <f>INDEX($A$61:$H$74,MATCH($L71,$B$61:$B$74,0),MATCH($BC$60,$A$61:$H$61,0))*고양시_Modal_split!M$3 * 0.01</f>
        <v>2.4318325706969396E-4</v>
      </c>
      <c r="BN71" s="207">
        <f>INDEX($A$61:$H$74,MATCH($L71,$B$61:$B$74,0),MATCH($BC$60,$A$61:$H$61,0))*고양시_Modal_split!N$3 * 0.01</f>
        <v>1.0573185089986696E-4</v>
      </c>
      <c r="BO71" s="207">
        <f>INDEX($A$61:$H$74,MATCH($L71,$B$61:$B$74,0),MATCH($BC$60,$A$61:$H$61,0))*고양시_Modal_split!O$3 * 0.01</f>
        <v>1.903173316197605E-4</v>
      </c>
      <c r="BP71" s="207">
        <f>INDEX($A$61:$H$74,MATCH($L71,$B$61:$B$74,0),MATCH($BC$60,$A$61:$H$61,0))*고양시_Modal_split!P$3 * 0.01</f>
        <v>0.10573185089986695</v>
      </c>
      <c r="BQ71" s="207">
        <f>INDEX($A$61:$H$74,MATCH($L71,$B$61:$B$74,0),MATCH($BQ$60,$A$61:$H$61,0))*고양시_Modal_split!C$3 * 0.01</f>
        <v>8.3880601713894141E-4</v>
      </c>
      <c r="BR71" s="207">
        <f>INDEX($A$61:$H$74,MATCH($L71,$B$61:$B$74,0),MATCH($BQ$60,$A$61:$H$61,0))*고양시_Modal_split!D$3 * 0.01</f>
        <v>0.14088945352158722</v>
      </c>
      <c r="BS71" s="207">
        <f>INDEX($A$61:$H$74,MATCH($L71,$B$61:$B$74,0),MATCH($BQ$60,$A$61:$H$61,0))*고양시_Modal_split!E$3 * 0.01</f>
        <v>1.7045736562573487E-2</v>
      </c>
      <c r="BT71" s="207">
        <f>INDEX($A$61:$H$74,MATCH($L71,$B$61:$B$74,0),MATCH($BQ$60,$A$61:$H$61,0))*고양시_Modal_split!F$3 * 0.01</f>
        <v>2.747089706130033E-2</v>
      </c>
      <c r="BU71" s="207">
        <f>INDEX($A$61:$H$74,MATCH($L71,$B$61:$B$74,0),MATCH($BQ$60,$A$61:$H$61,0))*고양시_Modal_split!G$3 * 0.01</f>
        <v>2.7560769134565215E-3</v>
      </c>
      <c r="BV71" s="207">
        <f>INDEX($A$61:$H$74,MATCH($L71,$B$61:$B$74,0),MATCH($BQ$60,$A$61:$H$61,0))*고양시_Modal_split!H$3 * 0.01</f>
        <v>2.9957357754962195E-5</v>
      </c>
      <c r="BW71" s="207">
        <f>INDEX($A$61:$H$74,MATCH($L71,$B$61:$B$74,0),MATCH($BQ$60,$A$61:$H$61,0))*고양시_Modal_split!I$3 * 0.01</f>
        <v>8.3281454558794907E-3</v>
      </c>
      <c r="BX71" s="207">
        <f>INDEX($A$61:$H$74,MATCH($L71,$B$61:$B$74,0),MATCH($BQ$60,$A$61:$H$61,0))*고양시_Modal_split!J$3 * 0.01</f>
        <v>9.1190197006104923E-2</v>
      </c>
      <c r="BY71" s="207">
        <f>INDEX($A$61:$H$74,MATCH($L71,$B$61:$B$74,0),MATCH($BQ$60,$A$61:$H$61,0))*고양시_Modal_split!K$3 * 0.01</f>
        <v>4.4936036632443291E-4</v>
      </c>
      <c r="BZ71" s="207">
        <f>INDEX($A$61:$H$74,MATCH($L71,$B$61:$B$74,0),MATCH($BQ$60,$A$61:$H$61,0))*고양시_Modal_split!L$3 * 0.01</f>
        <v>9.0471220419985829E-3</v>
      </c>
      <c r="CA71" s="207">
        <f>INDEX($A$61:$H$74,MATCH($L71,$B$61:$B$74,0),MATCH($BQ$60,$A$61:$H$61,0))*고양시_Modal_split!M$3 * 0.01</f>
        <v>6.8901922836413036E-4</v>
      </c>
      <c r="CB71" s="207">
        <f>INDEX($A$61:$H$74,MATCH($L71,$B$61:$B$74,0),MATCH($BQ$60,$A$61:$H$61,0))*고양시_Modal_split!N$3 * 0.01</f>
        <v>2.9957357754962192E-4</v>
      </c>
      <c r="CC71" s="207">
        <f>INDEX($A$61:$H$74,MATCH($L71,$B$61:$B$74,0),MATCH($BQ$60,$A$61:$H$61,0))*고양시_Modal_split!O$3 * 0.01</f>
        <v>5.3923243958931954E-4</v>
      </c>
      <c r="CD71" s="207">
        <f>INDEX($A$61:$H$74,MATCH($L71,$B$61:$B$74,0),MATCH($BQ$60,$A$61:$H$61,0))*고양시_Modal_split!P$3 * 0.01</f>
        <v>0.29957357754962194</v>
      </c>
      <c r="CE71" s="304">
        <f t="shared" si="31"/>
        <v>2.889908765930548</v>
      </c>
      <c r="CF71" s="304">
        <f t="shared" si="13"/>
        <v>485.40146164897743</v>
      </c>
      <c r="CG71" s="304">
        <f t="shared" si="14"/>
        <v>58.727074564802933</v>
      </c>
      <c r="CH71" s="304">
        <f t="shared" si="15"/>
        <v>94.644512084225468</v>
      </c>
      <c r="CI71" s="304">
        <f t="shared" si="16"/>
        <v>9.4954145166289443</v>
      </c>
      <c r="CJ71" s="304">
        <f t="shared" si="17"/>
        <v>0.10321102735466245</v>
      </c>
      <c r="CK71" s="304">
        <f t="shared" si="18"/>
        <v>28.692665604596158</v>
      </c>
      <c r="CL71" s="304">
        <f t="shared" si="19"/>
        <v>314.17436726759246</v>
      </c>
      <c r="CM71" s="304">
        <f t="shared" si="20"/>
        <v>1.5481654103199369</v>
      </c>
      <c r="CN71" s="304">
        <f t="shared" si="21"/>
        <v>31.169730261108057</v>
      </c>
      <c r="CO71" s="304">
        <f t="shared" si="22"/>
        <v>2.3738536291572361</v>
      </c>
      <c r="CP71" s="304">
        <f t="shared" si="23"/>
        <v>1.0321102735466248</v>
      </c>
      <c r="CQ71" s="304">
        <f t="shared" si="24"/>
        <v>1.8577984923839239</v>
      </c>
      <c r="CR71" s="304">
        <f t="shared" si="25"/>
        <v>1032.1102735466247</v>
      </c>
      <c r="CS71" s="305">
        <f t="shared" si="32"/>
        <v>0</v>
      </c>
      <c r="CV71" s="267" t="s">
        <v>169</v>
      </c>
      <c r="CW71" s="267" t="s">
        <v>169</v>
      </c>
      <c r="CX71" s="267">
        <f>INDEX($M$60:$Z$74,MATCH($CW71,$L$60:$L$74,0),MATCH(CX$61,$M$61:$Z$61,0))/INDEX(고양시_재차인원!$D$4:$H$35,MATCH("고양시",고양시_재차인원!$B$4:$B$35,0),MATCH($CX$60,고양시_재차인원!$D$4:$H$4,0))</f>
        <v>47.498392970329448</v>
      </c>
      <c r="CY71" s="267">
        <f>INDEX($M$60:$Z$74,MATCH($CW71,$L$60:$L$74,0),MATCH(CY$61,$M$61:$Z$61,0))/INDEX(고양시_재차인원!$K$4:$O$20,MATCH("경기도",고양시_재차인원!$K$4:$K$20,0),MATCH($CY$61,고양시_재차인원!$K$4:$O$4,0))</f>
        <v>3.928984317044384E-4</v>
      </c>
      <c r="CZ71" s="267">
        <f>INDEX($M$60:$Z$74,MATCH($CW71,$L$60:$L$74,0),MATCH(CZ$61,$M$61:$Z$61,0))/INDEX(고양시_재차인원!$K$4:$O$20,MATCH("경기도",고양시_재차인원!$K$4:$K$20,0),MATCH($CZ$61,고양시_재차인원!$K$4:$O$4,0))</f>
        <v>0.10922576401383387</v>
      </c>
      <c r="DA71" s="267">
        <f>INDEX($M$60:$Z$74,MATCH($CW71,$L$60:$L$74,0),MATCH(DA$61,$M$61:$Z$61,0))/INDEX(고양시_재차인원!$D$4:$H$35,MATCH("고양시",고양시_재차인원!$B$4:$B$35,0),MATCH($CX$60,고양시_재차인원!$D$4:$H$4,0))</f>
        <v>3.0500775413649786</v>
      </c>
      <c r="DB71" s="267">
        <f>INDEX($AA$60:$AN$74,MATCH($CW71,$L$60:$L$74,0),MATCH(DB$61,$AA$61:$AN$61,0))/INDEX(고양시_재차인원!$D$4:$H$35,MATCH("고양시",고양시_재차인원!$B$4:$B$35,0),MATCH($DB$60,고양시_재차인원!$D$4:$H$4,0))</f>
        <v>293.38744566249625</v>
      </c>
      <c r="DC71" s="267">
        <f>INDEX($AA$60:$AN$74,MATCH($CW71,$L$60:$L$74,0),MATCH(DC$61,$AA$61:$AN$61,0))/INDEX(고양시_재차인원!$K$4:$O$20,MATCH("경기도",고양시_재차인원!$K$4:$K$20,0),MATCH($DC$61,고양시_재차인원!$K$4:$O$4,0))</f>
        <v>3.0552305995524189E-3</v>
      </c>
      <c r="DD71" s="267">
        <f>INDEX($AA$60:$AN$74,MATCH($CW71,$L$60:$L$74,0),MATCH(DD$61,$AA$61:$AN$61,0))/INDEX(고양시_재차인원!$K$4:$O$20,MATCH("경기도",고양시_재차인원!$K$4:$K$20,0),MATCH($DD$61,고양시_재차인원!$K$4:$O$4,0))</f>
        <v>0.84935410667557232</v>
      </c>
      <c r="DE71" s="267">
        <f>INDEX($AA$60:$AN$74,MATCH($CW71,$L$60:$L$74,0),MATCH(DE$61,$AA$61:$AN$61,0))/INDEX(고양시_재차인원!$D$4:$H$35,MATCH("고양시",고양시_재차인원!$B$4:$B$35,0),MATCH($DB$60,고양시_재차인원!$D$4:$H$4,0))</f>
        <v>18.839678628550686</v>
      </c>
      <c r="DF71" s="267">
        <f>INDEX($AO$60:$BB$74,MATCH($CW71,$L$60:$L$74,0),MATCH(DF$61,$AO$61:$BB$61,0))/INDEX(고양시_재차인원!$D$4:$H$35,MATCH("고양시",고양시_재차인원!$B$4:$B$35,0),MATCH($DF$60,고양시_재차인원!$D$4:$H$4,0))</f>
        <v>14.104883073145343</v>
      </c>
      <c r="DG71" s="267">
        <f>INDEX($AO$60:$BB$74,MATCH($CW71,$L$60:$L$74,0),MATCH(DG$61,$AO$61:$BB$61,0))/INDEX(고양시_재차인원!$K$4:$O$20,MATCH("경기도",고양시_재차인원!$K$4:$K$20,0),MATCH($DG$61,고양시_재차인원!$K$4:$O$4,0))</f>
        <v>1.3542417512791194E-4</v>
      </c>
      <c r="DH71" s="267">
        <f>INDEX($AO$60:$BB$74,MATCH($CW71,$L$60:$L$74,0),MATCH(DH$61,$AO$61:$BB$61,0))/INDEX(고양시_재차인원!$K$4:$O$20,MATCH("경기도",고양시_재차인원!$K$4:$K$20,0),MATCH($DH$61,고양시_재차인원!$K$4:$O$4,0))</f>
        <v>3.7647920685559513E-2</v>
      </c>
      <c r="DI71" s="267">
        <f>INDEX($AO$60:$BB$74,MATCH($CW71,$L$60:$L$74,0),MATCH(DI$61,$AO$61:$BB$61,0))/INDEX(고양시_재차인원!$D$4:$H$35,MATCH("고양시",고양시_재차인원!$B$4:$B$35,0),MATCH($DF$60,고양시_재차인원!$D$4:$H$4,0))</f>
        <v>0.90573563429510806</v>
      </c>
      <c r="DJ71" s="267">
        <f>INDEX($BC$60:$BP$74,MATCH($CW71,$L$60:$L$74,0),MATCH(DJ$61,$BC$61:$BP$61,0))/INDEX(고양시_재차인원!$D$4:$H$35,MATCH("고양시",고양시_재차인원!$B$4:$B$35,0),MATCH($DJ$60,고양시_재차인원!$D$4:$H$4,0))</f>
        <v>3.6563006969270166E-2</v>
      </c>
      <c r="DK71" s="267">
        <f>INDEX($BC$60:$BP$74,MATCH($CW71,$L$60:$L$74,0),MATCH(DK$61,$BC$61:$BP$61,0))/INDEX(고양시_재차인원!$K$4:$O$20,MATCH("경기도",고양시_재차인원!$K$4:$K$20,0),MATCH($DK$61,고양시_재차인원!$K$4:$O$4,0))</f>
        <v>3.672520003468807E-7</v>
      </c>
      <c r="DL71" s="267">
        <f>INDEX($BC$60:$BP$74,MATCH($CW71,$L$60:$L$74,0),MATCH(DL$61,$BC$61:$BP$61,0))/INDEX(고양시_재차인원!$K$4:$O$20,MATCH("경기도",고양시_재차인원!$K$4:$K$20,0),MATCH($DL$61,고양시_재차인원!$K$4:$O$4,0))</f>
        <v>1.0209605609643284E-4</v>
      </c>
      <c r="DM71" s="267">
        <f>INDEX($BC$60:$BP$74,MATCH($CW71,$L$60:$L$74,0),MATCH(DM$61,$BC$61:$BP$61,0))/INDEX(고양시_재차인원!$D$4:$H$35,MATCH("고양시",고양시_재차인원!$B$4:$B$35,0),MATCH($DJ$60,고양시_재차인원!$D$4:$H$4,0))</f>
        <v>2.3478690420411629E-3</v>
      </c>
      <c r="DN71" s="267">
        <f>INDEX($BQ$60:$CD$74,MATCH($CW71,$L$60:$L$74,0),MATCH(DN$61,$BQ$61:$CD$61,0))/INDEX(고양시_재차인원!$D$4:$H$35,MATCH("고양시",고양시_재차인원!$B$4:$B$35,0),MATCH($DN$60,고양시_재차인원!$D$4:$H$4,0))</f>
        <v>0.11181702660443429</v>
      </c>
      <c r="DO71" s="267">
        <f>INDEX($BQ$60:$CD$74,MATCH($CW71,$L$60:$L$74,0),MATCH(DO$61,$BQ$61:$CD$61,0))/INDEX(고양시_재차인원!$K$4:$O$20,MATCH("경기도",고양시_재차인원!$K$4:$K$20,0),MATCH($DO$61,고양시_재차인원!$K$4:$O$4,0))</f>
        <v>1.0405473343161582E-6</v>
      </c>
      <c r="DP71" s="267">
        <f>INDEX($BQ$60:$CD$74,MATCH($CW71,$L$60:$L$74,0),MATCH(DP$61,$BQ$61:$CD$61,0))/INDEX(고양시_재차인원!$K$4:$O$20,MATCH("경기도",고양시_재차인원!$K$4:$K$20,0),MATCH($DP$61,고양시_재차인원!$K$4:$O$4,0))</f>
        <v>2.8927215893989199E-4</v>
      </c>
      <c r="DQ71" s="267">
        <f>INDEX($BQ$60:$CD$74,MATCH($CW71,$L$60:$L$74,0),MATCH(DQ$61,$BQ$61:$CD$61,0))/INDEX(고양시_재차인원!$D$4:$H$35,MATCH("고양시",고양시_재차인원!$B$4:$B$35,0),MATCH($DN$60,고양시_재차인원!$D$4:$H$4,0))</f>
        <v>7.180255588887764E-3</v>
      </c>
      <c r="DR71" s="270">
        <f t="shared" si="33"/>
        <v>355.1391017395448</v>
      </c>
      <c r="DS71" s="270">
        <f t="shared" si="26"/>
        <v>3.5849610057194325E-3</v>
      </c>
      <c r="DT71" s="270">
        <f t="shared" si="27"/>
        <v>0.99661915959000213</v>
      </c>
      <c r="DU71" s="270">
        <f t="shared" si="28"/>
        <v>22.805019928841702</v>
      </c>
      <c r="DW71" s="278" t="s">
        <v>169</v>
      </c>
      <c r="DX71" s="278" t="s">
        <v>169</v>
      </c>
      <c r="DY71" s="281">
        <f t="shared" si="41"/>
        <v>377.94412166838652</v>
      </c>
      <c r="DZ71" s="281">
        <f t="shared" si="42"/>
        <v>1.0002041205957215</v>
      </c>
      <c r="EB71" s="278" t="s">
        <v>170</v>
      </c>
      <c r="EC71" s="278" t="s">
        <v>170</v>
      </c>
      <c r="ED71" s="281">
        <f t="shared" si="45"/>
        <v>312.58173687442809</v>
      </c>
      <c r="EE71" s="281">
        <f t="shared" si="44"/>
        <v>0.82722689233698454</v>
      </c>
      <c r="EK71" s="420" t="s">
        <v>47</v>
      </c>
      <c r="EL71" s="420" t="s">
        <v>47</v>
      </c>
      <c r="EM71" s="420" t="s">
        <v>570</v>
      </c>
      <c r="EN71" s="420">
        <v>4861.8494000000001</v>
      </c>
      <c r="EO71" s="420">
        <v>0.50932407249705824</v>
      </c>
      <c r="EP71" s="421">
        <v>849010</v>
      </c>
      <c r="EQ71" s="422">
        <f t="shared" si="37"/>
        <v>116.56237048064276</v>
      </c>
      <c r="ER71" s="422">
        <f t="shared" si="38"/>
        <v>0.30847460398772469</v>
      </c>
      <c r="ES71">
        <v>0</v>
      </c>
      <c r="EU71" s="306" t="s">
        <v>47</v>
      </c>
      <c r="EV71" s="306" t="s">
        <v>47</v>
      </c>
      <c r="EW71" s="306" t="s">
        <v>570</v>
      </c>
      <c r="EX71" s="306">
        <v>4861.8494000000001</v>
      </c>
      <c r="EY71" s="306">
        <v>0.50932407249705824</v>
      </c>
      <c r="EZ71" s="307">
        <v>849010</v>
      </c>
      <c r="FA71" s="308">
        <f t="shared" si="39"/>
        <v>116.56237048064276</v>
      </c>
      <c r="FB71" s="308">
        <f t="shared" si="30"/>
        <v>0.30847460398772469</v>
      </c>
      <c r="FD71" s="101"/>
      <c r="FE71" s="101"/>
      <c r="FF71" s="101"/>
      <c r="FG71" s="101"/>
      <c r="FH71" s="101"/>
      <c r="FI71" s="374"/>
      <c r="FJ71" s="404"/>
      <c r="FK71" s="404"/>
    </row>
    <row r="72" spans="1:167" ht="25">
      <c r="A72" s="205" t="s">
        <v>170</v>
      </c>
      <c r="B72" s="205" t="s">
        <v>170</v>
      </c>
      <c r="C72" s="201">
        <f>$L39*KTDB_TripDistribution_2045!L$12</f>
        <v>93.55305309513038</v>
      </c>
      <c r="D72" s="201">
        <f>$L39*KTDB_TripDistribution_2045!M$12</f>
        <v>727.48101655139692</v>
      </c>
      <c r="E72" s="201">
        <f>$L39*KTDB_TripDistribution_2045!N$12</f>
        <v>32.245852932384359</v>
      </c>
      <c r="F72" s="201">
        <f>$L39*KTDB_TripDistribution_2045!O$12</f>
        <v>8.74463808335849E-2</v>
      </c>
      <c r="G72" s="201">
        <f>$L39*KTDB_TripDistribution_2045!P$12</f>
        <v>0.24776474569515636</v>
      </c>
      <c r="H72" s="201">
        <f>$L39*KTDB_TripDistribution_2045!Q$12</f>
        <v>853.61513370544048</v>
      </c>
      <c r="I72" s="56"/>
      <c r="J72" s="56"/>
      <c r="K72" s="206" t="s">
        <v>170</v>
      </c>
      <c r="L72" s="206" t="s">
        <v>170</v>
      </c>
      <c r="M72" s="206">
        <f>INDEX($A$61:$H$74,MATCH($L72,$B$61:$B$74,0),MATCH($M$60,$A$61:$H$61,0))*고양시_Modal_split!C$3 * 0.01</f>
        <v>0.26194854866636502</v>
      </c>
      <c r="N72" s="206">
        <f>INDEX($A$61:$H$74,MATCH($L72,$B$61:$B$74,0),MATCH($M$60,$A$61:$H$61,0))*고양시_Modal_split!D$3 * 0.01</f>
        <v>43.998000870639821</v>
      </c>
      <c r="O72" s="206">
        <f>INDEX($A$61:$H$74,MATCH($L72,$B$61:$B$74,0),MATCH($M$60,$A$61:$H$61,0))*고양시_Modal_split!E$3 * 0.01</f>
        <v>5.3231687211129177</v>
      </c>
      <c r="P72" s="206">
        <f>INDEX($A$61:$H$74,MATCH($L72,$B$61:$B$74,0),MATCH($M$60,$A$61:$H$61,0))*고양시_Modal_split!F$3 * 0.01</f>
        <v>8.5788149688234565</v>
      </c>
      <c r="Q72" s="206">
        <f>INDEX($A$61:$H$74,MATCH($L72,$B$61:$B$74,0),MATCH($M$60,$A$61:$H$61,0))*고양시_Modal_split!G$3 * 0.01</f>
        <v>0.86068808847519951</v>
      </c>
      <c r="R72" s="206">
        <f>INDEX($A$61:$H$74,MATCH($L72,$B$61:$B$74,0),MATCH($M$60,$A$61:$H$61,0))*고양시_Modal_split!H$3 * 0.01</f>
        <v>9.355305309513038E-3</v>
      </c>
      <c r="S72" s="206">
        <f>INDEX($A$61:$H$74,MATCH($L72,$B$61:$B$74,0),MATCH($M$60,$A$61:$H$61,0))*고양시_Modal_split!I$3 * 0.01</f>
        <v>2.6007748760446243</v>
      </c>
      <c r="T72" s="206">
        <f>INDEX($A$61:$H$74,MATCH($L72,$B$61:$B$74,0),MATCH($M$60,$A$61:$H$61,0))*고양시_Modal_split!J$3 * 0.01</f>
        <v>28.477549362157689</v>
      </c>
      <c r="U72" s="206">
        <f>INDEX($A$61:$H$74,MATCH($L72,$B$61:$B$74,0),MATCH($M$60,$A$61:$H$61,0))*고양시_Modal_split!K$3 * 0.01</f>
        <v>0.14032957964269557</v>
      </c>
      <c r="V72" s="206">
        <f>INDEX($A$61:$H$74,MATCH($L72,$B$61:$B$74,0),MATCH($M$60,$A$61:$H$61,0))*고양시_Modal_split!L$3 * 0.01</f>
        <v>2.8253022034729378</v>
      </c>
      <c r="W72" s="206">
        <f>INDEX($A$61:$H$74,MATCH($L72,$B$61:$B$74,0),MATCH($M$60,$A$61:$H$61,0))*고양시_Modal_split!M$3 * 0.01</f>
        <v>0.21517202211879988</v>
      </c>
      <c r="X72" s="206">
        <f>INDEX($A$61:$H$74,MATCH($L72,$B$61:$B$74,0),MATCH($M$60,$A$61:$H$61,0))*고양시_Modal_split!N$3 * 0.01</f>
        <v>9.3553053095130387E-2</v>
      </c>
      <c r="Y72" s="206">
        <f>INDEX($A$61:$H$74,MATCH($L72,$B$61:$B$74,0),MATCH($M$60,$A$61:$H$61,0))*고양시_Modal_split!O$3 * 0.01</f>
        <v>0.1683954955712347</v>
      </c>
      <c r="Z72" s="209">
        <f>INDEX($A$61:$H$74,MATCH($L72,$B$61:$B$74,0),MATCH($M$60,$A$61:$H$61,0))*고양시_Modal_split!P$3 * 0.01</f>
        <v>93.55305309513038</v>
      </c>
      <c r="AA72" s="207">
        <f>INDEX($A$61:$H$74,MATCH($L72,$B$61:$B$74,0),MATCH($AA$60,$A$61:$H$61,0))*고양시_Modal_split!C$3 * 0.01</f>
        <v>2.0369468463439113</v>
      </c>
      <c r="AB72" s="207">
        <f>INDEX($A$61:$H$74,MATCH($L72,$B$61:$B$74,0),MATCH($AA$60,$A$61:$H$61,0))*고양시_Modal_split!D$3 * 0.01</f>
        <v>342.13432208412195</v>
      </c>
      <c r="AC72" s="207">
        <f>INDEX($A$61:$H$74,MATCH($L72,$B$61:$B$74,0),MATCH($AA$60,$A$61:$H$61,0))*고양시_Modal_split!E$3 * 0.01</f>
        <v>41.393669841774482</v>
      </c>
      <c r="AD72" s="207">
        <f>INDEX($A$61:$H$74,MATCH($L72,$B$61:$B$74,0),MATCH($AA$60,$A$61:$H$61,0))*고양시_Modal_split!F$3 * 0.01</f>
        <v>66.710009217763101</v>
      </c>
      <c r="AE72" s="207">
        <f>INDEX($A$61:$H$74,MATCH($L72,$B$61:$B$74,0),MATCH($AA$60,$A$61:$H$61,0))*고양시_Modal_split!G$3 * 0.01</f>
        <v>6.6928253522728518</v>
      </c>
      <c r="AF72" s="207">
        <f>INDEX($A$61:$H$74,MATCH($L72,$B$61:$B$74,0),MATCH($AA$60,$A$61:$H$61,0))*고양시_Modal_split!H$3 * 0.01</f>
        <v>7.2748101655139688E-2</v>
      </c>
      <c r="AG72" s="207">
        <f>INDEX($A$61:$H$74,MATCH($L72,$B$61:$B$74,0),MATCH($AA$60,$A$61:$H$61,0))*고양시_Modal_split!I$3 * 0.01</f>
        <v>20.223972260128832</v>
      </c>
      <c r="AH72" s="207">
        <f>INDEX($A$61:$H$74,MATCH($L72,$B$61:$B$74,0),MATCH($AA$60,$A$61:$H$61,0))*고양시_Modal_split!J$3 * 0.01</f>
        <v>221.44522143824526</v>
      </c>
      <c r="AI72" s="207">
        <f>INDEX($A$61:$H$74,MATCH($L72,$B$61:$B$74,0),MATCH($AA$60,$A$61:$H$61,0))*고양시_Modal_split!K$3 * 0.01</f>
        <v>1.0912215248270953</v>
      </c>
      <c r="AJ72" s="207">
        <f>INDEX($A$61:$H$74,MATCH($L72,$B$61:$B$74,0),MATCH($AA$60,$A$61:$H$61,0))*고양시_Modal_split!L$3 * 0.01</f>
        <v>21.969926699852184</v>
      </c>
      <c r="AK72" s="207">
        <f>INDEX($A$61:$H$74,MATCH($L72,$B$61:$B$74,0),MATCH($AA$60,$A$61:$H$61,0))*고양시_Modal_split!M$3 * 0.01</f>
        <v>1.673206338068213</v>
      </c>
      <c r="AL72" s="207">
        <f>INDEX($A$61:$H$74,MATCH($L72,$B$61:$B$74,0),MATCH($AA$60,$A$61:$H$61,0))*고양시_Modal_split!N$3 * 0.01</f>
        <v>0.72748101655139696</v>
      </c>
      <c r="AM72" s="207">
        <f>INDEX($A$61:$H$74,MATCH($L72,$B$61:$B$74,0),MATCH($AA$60,$A$61:$H$61,0))*고양시_Modal_split!O$3 * 0.01</f>
        <v>1.3094658297925146</v>
      </c>
      <c r="AN72" s="207">
        <f>INDEX($A$61:$H$74,MATCH($L72,$B$61:$B$74,0),MATCH($AA$60,$A$61:$H$61,0))*고양시_Modal_split!P$3 * 0.01</f>
        <v>727.48101655139692</v>
      </c>
      <c r="AO72" s="303">
        <f>INDEX($A$61:$H$74,MATCH($L72,$B$61:$B$74,0),MATCH($AO$60,$A$61:$H$61,0))*고양시_Modal_split!C$3 * 0.01</f>
        <v>9.0288388210676196E-2</v>
      </c>
      <c r="AP72" s="303">
        <f>INDEX($A$61:$H$74,MATCH($L72,$B$61:$B$74,0),MATCH($AO$60,$A$61:$H$61,0))*고양시_Modal_split!D$3 * 0.01</f>
        <v>15.165224634100364</v>
      </c>
      <c r="AQ72" s="303">
        <f>INDEX($A$61:$H$74,MATCH($L72,$B$61:$B$74,0),MATCH($AO$60,$A$61:$H$61,0))*고양시_Modal_split!E$3 * 0.01</f>
        <v>1.8347890318526701</v>
      </c>
      <c r="AR72" s="303">
        <f>INDEX($A$61:$H$74,MATCH($L72,$B$61:$B$74,0),MATCH($AO$60,$A$61:$H$61,0))*고양시_Modal_split!F$3 * 0.01</f>
        <v>2.9569447138996456</v>
      </c>
      <c r="AS72" s="303">
        <f>INDEX($A$61:$H$74,MATCH($L72,$B$61:$B$74,0),MATCH($AO$60,$A$61:$H$61,0))*고양시_Modal_split!G$3 * 0.01</f>
        <v>0.29666184697793607</v>
      </c>
      <c r="AT72" s="303">
        <f>INDEX($A$61:$H$74,MATCH($L72,$B$61:$B$74,0),MATCH($AO$60,$A$61:$H$61,0))*고양시_Modal_split!H$3 * 0.01</f>
        <v>3.224585293238436E-3</v>
      </c>
      <c r="AU72" s="303">
        <f>INDEX($A$61:$H$74,MATCH($L72,$B$61:$B$74,0),MATCH($AO$60,$A$61:$H$61,0))*고양시_Modal_split!I$3 * 0.01</f>
        <v>0.89643471152028509</v>
      </c>
      <c r="AV72" s="303">
        <f>INDEX($A$61:$H$74,MATCH($L72,$B$61:$B$74,0),MATCH($AO$60,$A$61:$H$61,0))*고양시_Modal_split!J$3 * 0.01</f>
        <v>9.8156376326178005</v>
      </c>
      <c r="AW72" s="303">
        <f>INDEX($A$61:$H$74,MATCH($L72,$B$61:$B$74,0),MATCH($AO$60,$A$61:$H$61,0))*고양시_Modal_split!K$3 * 0.01</f>
        <v>4.8368779398576534E-2</v>
      </c>
      <c r="AX72" s="303">
        <f>INDEX($A$61:$H$74,MATCH($L72,$B$61:$B$74,0),MATCH($AO$60,$A$61:$H$61,0))*고양시_Modal_split!L$3 * 0.01</f>
        <v>0.97382475855800765</v>
      </c>
      <c r="AY72" s="303">
        <f>INDEX($A$61:$H$74,MATCH($L72,$B$61:$B$74,0),MATCH($AO$60,$A$61:$H$61,0))*고양시_Modal_split!M$3 * 0.01</f>
        <v>7.4165461744484018E-2</v>
      </c>
      <c r="AZ72" s="303">
        <f>INDEX($A$61:$H$74,MATCH($L72,$B$61:$B$74,0),MATCH($AO$60,$A$61:$H$61,0))*고양시_Modal_split!N$3 * 0.01</f>
        <v>3.2245852932384363E-2</v>
      </c>
      <c r="BA72" s="207">
        <f>INDEX($A$61:$H$74,MATCH($L72,$B$61:$B$74,0),MATCH($AO$60,$A$61:$H$61,0))*고양시_Modal_split!O$3 * 0.01</f>
        <v>5.804253527829184E-2</v>
      </c>
      <c r="BB72" s="207">
        <f>INDEX($A$61:$H$74,MATCH($L72,$B$61:$B$74,0),MATCH($AO$60,$A$61:$H$61,0))*고양시_Modal_split!P$3 * 0.01</f>
        <v>32.245852932384359</v>
      </c>
      <c r="BC72" s="207">
        <f>INDEX($A$61:$H$74,MATCH($L72,$B$61:$B$74,0),MATCH($BC$60,$A$61:$H$61,0))*고양시_Modal_split!C$3 * 0.01</f>
        <v>2.4484986633403771E-4</v>
      </c>
      <c r="BD72" s="207">
        <f>INDEX($A$61:$H$74,MATCH($L72,$B$61:$B$74,0),MATCH($BC$60,$A$61:$H$61,0))*고양시_Modal_split!D$3 * 0.01</f>
        <v>4.1126032906034976E-2</v>
      </c>
      <c r="BE72" s="207">
        <f>INDEX($A$61:$H$74,MATCH($L72,$B$61:$B$74,0),MATCH($BC$60,$A$61:$H$61,0))*고양시_Modal_split!E$3 * 0.01</f>
        <v>4.975699069430981E-3</v>
      </c>
      <c r="BF72" s="207">
        <f>INDEX($A$61:$H$74,MATCH($L72,$B$61:$B$74,0),MATCH($BC$60,$A$61:$H$61,0))*고양시_Modal_split!F$3 * 0.01</f>
        <v>8.0188331224397367E-3</v>
      </c>
      <c r="BG72" s="207">
        <f>INDEX($A$61:$H$74,MATCH($L72,$B$61:$B$74,0),MATCH($BC$60,$A$61:$H$61,0))*고양시_Modal_split!G$3 * 0.01</f>
        <v>8.0450670366898102E-4</v>
      </c>
      <c r="BH72" s="207">
        <f>INDEX($A$61:$H$74,MATCH($L72,$B$61:$B$74,0),MATCH($BC$60,$A$61:$H$61,0))*고양시_Modal_split!H$3 * 0.01</f>
        <v>8.7446380833584909E-6</v>
      </c>
      <c r="BI72" s="207">
        <f>INDEX($A$61:$H$74,MATCH($L72,$B$61:$B$74,0),MATCH($BC$60,$A$61:$H$61,0))*고양시_Modal_split!I$3 * 0.01</f>
        <v>2.4310093871736604E-3</v>
      </c>
      <c r="BJ72" s="207">
        <f>INDEX($A$61:$H$74,MATCH($L72,$B$61:$B$74,0),MATCH($BC$60,$A$61:$H$61,0))*고양시_Modal_split!J$3 * 0.01</f>
        <v>2.6618678325743245E-2</v>
      </c>
      <c r="BK72" s="207">
        <f>INDEX($A$61:$H$74,MATCH($L72,$B$61:$B$74,0),MATCH($BC$60,$A$61:$H$61,0))*고양시_Modal_split!K$3 * 0.01</f>
        <v>1.3116957125037734E-4</v>
      </c>
      <c r="BL72" s="207">
        <f>INDEX($A$61:$H$74,MATCH($L72,$B$61:$B$74,0),MATCH($BC$60,$A$61:$H$61,0))*고양시_Modal_split!L$3 * 0.01</f>
        <v>2.640880701174264E-3</v>
      </c>
      <c r="BM72" s="207">
        <f>INDEX($A$61:$H$74,MATCH($L72,$B$61:$B$74,0),MATCH($BC$60,$A$61:$H$61,0))*고양시_Modal_split!M$3 * 0.01</f>
        <v>2.0112667591724525E-4</v>
      </c>
      <c r="BN72" s="207">
        <f>INDEX($A$61:$H$74,MATCH($L72,$B$61:$B$74,0),MATCH($BC$60,$A$61:$H$61,0))*고양시_Modal_split!N$3 * 0.01</f>
        <v>8.7446380833584912E-5</v>
      </c>
      <c r="BO72" s="207">
        <f>INDEX($A$61:$H$74,MATCH($L72,$B$61:$B$74,0),MATCH($BC$60,$A$61:$H$61,0))*고양시_Modal_split!O$3 * 0.01</f>
        <v>1.5740348550045283E-4</v>
      </c>
      <c r="BP72" s="207">
        <f>INDEX($A$61:$H$74,MATCH($L72,$B$61:$B$74,0),MATCH($BC$60,$A$61:$H$61,0))*고양시_Modal_split!P$3 * 0.01</f>
        <v>8.74463808335849E-2</v>
      </c>
      <c r="BQ72" s="207">
        <f>INDEX($A$61:$H$74,MATCH($L72,$B$61:$B$74,0),MATCH($BQ$60,$A$61:$H$61,0))*고양시_Modal_split!C$3 * 0.01</f>
        <v>6.9374128794643774E-4</v>
      </c>
      <c r="BR72" s="207">
        <f>INDEX($A$61:$H$74,MATCH($L72,$B$61:$B$74,0),MATCH($BQ$60,$A$61:$H$61,0))*고양시_Modal_split!D$3 * 0.01</f>
        <v>0.11652375990043204</v>
      </c>
      <c r="BS72" s="207">
        <f>INDEX($A$61:$H$74,MATCH($L72,$B$61:$B$74,0),MATCH($BQ$60,$A$61:$H$61,0))*고양시_Modal_split!E$3 * 0.01</f>
        <v>1.4097814030054397E-2</v>
      </c>
      <c r="BT72" s="207">
        <f>INDEX($A$61:$H$74,MATCH($L72,$B$61:$B$74,0),MATCH($BQ$60,$A$61:$H$61,0))*고양시_Modal_split!F$3 * 0.01</f>
        <v>2.2720027180245839E-2</v>
      </c>
      <c r="BU72" s="207">
        <f>INDEX($A$61:$H$74,MATCH($L72,$B$61:$B$74,0),MATCH($BQ$60,$A$61:$H$61,0))*고양시_Modal_split!G$3 * 0.01</f>
        <v>2.2794356603954382E-3</v>
      </c>
      <c r="BV72" s="207">
        <f>INDEX($A$61:$H$74,MATCH($L72,$B$61:$B$74,0),MATCH($BQ$60,$A$61:$H$61,0))*고양시_Modal_split!H$3 * 0.01</f>
        <v>2.4776474569515637E-5</v>
      </c>
      <c r="BW72" s="207">
        <f>INDEX($A$61:$H$74,MATCH($L72,$B$61:$B$74,0),MATCH($BQ$60,$A$61:$H$61,0))*고양시_Modal_split!I$3 * 0.01</f>
        <v>6.8878599303253468E-3</v>
      </c>
      <c r="BX72" s="207">
        <f>INDEX($A$61:$H$74,MATCH($L72,$B$61:$B$74,0),MATCH($BQ$60,$A$61:$H$61,0))*고양시_Modal_split!J$3 * 0.01</f>
        <v>7.5419588589605596E-2</v>
      </c>
      <c r="BY72" s="207">
        <f>INDEX($A$61:$H$74,MATCH($L72,$B$61:$B$74,0),MATCH($BQ$60,$A$61:$H$61,0))*고양시_Modal_split!K$3 * 0.01</f>
        <v>3.7164711854273456E-4</v>
      </c>
      <c r="BZ72" s="207">
        <f>INDEX($A$61:$H$74,MATCH($L72,$B$61:$B$74,0),MATCH($BQ$60,$A$61:$H$61,0))*고양시_Modal_split!L$3 * 0.01</f>
        <v>7.4824953199937221E-3</v>
      </c>
      <c r="CA72" s="207">
        <f>INDEX($A$61:$H$74,MATCH($L72,$B$61:$B$74,0),MATCH($BQ$60,$A$61:$H$61,0))*고양시_Modal_split!M$3 * 0.01</f>
        <v>5.6985891509885955E-4</v>
      </c>
      <c r="CB72" s="207">
        <f>INDEX($A$61:$H$74,MATCH($L72,$B$61:$B$74,0),MATCH($BQ$60,$A$61:$H$61,0))*고양시_Modal_split!N$3 * 0.01</f>
        <v>2.4776474569515637E-4</v>
      </c>
      <c r="CC72" s="207">
        <f>INDEX($A$61:$H$74,MATCH($L72,$B$61:$B$74,0),MATCH($BQ$60,$A$61:$H$61,0))*고양시_Modal_split!O$3 * 0.01</f>
        <v>4.4597654225128147E-4</v>
      </c>
      <c r="CD72" s="207">
        <f>INDEX($A$61:$H$74,MATCH($L72,$B$61:$B$74,0),MATCH($BQ$60,$A$61:$H$61,0))*고양시_Modal_split!P$3 * 0.01</f>
        <v>0.24776474569515636</v>
      </c>
      <c r="CE72" s="304">
        <f t="shared" si="31"/>
        <v>2.3901223743752333</v>
      </c>
      <c r="CF72" s="304">
        <f t="shared" si="13"/>
        <v>401.4551973816686</v>
      </c>
      <c r="CG72" s="304">
        <f t="shared" si="14"/>
        <v>48.570701107839561</v>
      </c>
      <c r="CH72" s="304">
        <f t="shared" si="15"/>
        <v>78.276507760788874</v>
      </c>
      <c r="CI72" s="304">
        <f t="shared" si="16"/>
        <v>7.8532592300900514</v>
      </c>
      <c r="CJ72" s="304">
        <f t="shared" si="17"/>
        <v>8.5361513370544026E-2</v>
      </c>
      <c r="CK72" s="304">
        <f t="shared" si="18"/>
        <v>23.730500717011243</v>
      </c>
      <c r="CL72" s="304">
        <f t="shared" si="19"/>
        <v>259.84044669993608</v>
      </c>
      <c r="CM72" s="304">
        <f t="shared" si="20"/>
        <v>1.2804227005581605</v>
      </c>
      <c r="CN72" s="304">
        <f t="shared" si="21"/>
        <v>25.779177037904297</v>
      </c>
      <c r="CO72" s="304">
        <f t="shared" si="22"/>
        <v>1.9633148075225129</v>
      </c>
      <c r="CP72" s="304">
        <f t="shared" si="23"/>
        <v>0.85361513370544051</v>
      </c>
      <c r="CQ72" s="304">
        <f t="shared" si="24"/>
        <v>1.5365072406697931</v>
      </c>
      <c r="CR72" s="304">
        <f t="shared" si="25"/>
        <v>853.61513370544037</v>
      </c>
      <c r="CS72" s="305">
        <f t="shared" si="32"/>
        <v>0</v>
      </c>
      <c r="CV72" s="267" t="s">
        <v>170</v>
      </c>
      <c r="CW72" s="267" t="s">
        <v>170</v>
      </c>
      <c r="CX72" s="267">
        <f>INDEX($M$60:$Z$74,MATCH($CW72,$L$60:$L$74,0),MATCH(CX$61,$M$61:$Z$61,0))/INDEX(고양시_재차인원!$D$4:$H$35,MATCH("고양시",고양시_재차인원!$B$4:$B$35,0),MATCH($CX$60,고양시_재차인원!$D$4:$H$4,0))</f>
        <v>39.283929348785549</v>
      </c>
      <c r="CY72" s="267">
        <f>INDEX($M$60:$Z$74,MATCH($CW72,$L$60:$L$74,0),MATCH(CY$61,$M$61:$Z$61,0))/INDEX(고양시_재차인원!$K$4:$O$20,MATCH("경기도",고양시_재차인원!$K$4:$K$20,0),MATCH($CY$61,고양시_재차인원!$K$4:$O$4,0))</f>
        <v>3.2494981971215833E-4</v>
      </c>
      <c r="CZ72" s="267">
        <f>INDEX($M$60:$Z$74,MATCH($CW72,$L$60:$L$74,0),MATCH(CZ$61,$M$61:$Z$61,0))/INDEX(고양시_재차인원!$K$4:$O$20,MATCH("경기도",고양시_재차인원!$K$4:$K$20,0),MATCH($CZ$61,고양시_재차인원!$K$4:$O$4,0))</f>
        <v>9.0336049879980007E-2</v>
      </c>
      <c r="DA72" s="267">
        <f>INDEX($M$60:$Z$74,MATCH($CW72,$L$60:$L$74,0),MATCH(DA$61,$M$61:$Z$61,0))/INDEX(고양시_재차인원!$D$4:$H$35,MATCH("고양시",고양시_재차인원!$B$4:$B$35,0),MATCH($CX$60,고양시_재차인원!$D$4:$H$4,0))</f>
        <v>2.522591253100837</v>
      </c>
      <c r="DB72" s="267">
        <f>INDEX($AA$60:$AN$74,MATCH($CW72,$L$60:$L$74,0),MATCH(DB$61,$AA$61:$AN$61,0))/INDEX(고양시_재차인원!$D$4:$H$35,MATCH("고양시",고양시_재차인원!$B$4:$B$35,0),MATCH($DB$60,고양시_재차인원!$D$4:$H$4,0))</f>
        <v>242.6484553788099</v>
      </c>
      <c r="DC72" s="267">
        <f>INDEX($AA$60:$AN$74,MATCH($CW72,$L$60:$L$74,0),MATCH(DC$61,$AA$61:$AN$61,0))/INDEX(고양시_재차인원!$K$4:$O$20,MATCH("경기도",고양시_재차인원!$K$4:$K$20,0),MATCH($DC$61,고양시_재차인원!$K$4:$O$4,0))</f>
        <v>2.5268531314741123E-3</v>
      </c>
      <c r="DD72" s="267">
        <f>INDEX($AA$60:$AN$74,MATCH($CW72,$L$60:$L$74,0),MATCH(DD$61,$AA$61:$AN$61,0))/INDEX(고양시_재차인원!$K$4:$O$20,MATCH("경기도",고양시_재차인원!$K$4:$K$20,0),MATCH($DD$61,고양시_재차인원!$K$4:$O$4,0))</f>
        <v>0.70246517054980318</v>
      </c>
      <c r="DE72" s="267">
        <f>INDEX($AA$60:$AN$74,MATCH($CW72,$L$60:$L$74,0),MATCH(DE$61,$AA$61:$AN$61,0))/INDEX(고양시_재차인원!$D$4:$H$35,MATCH("고양시",고양시_재차인원!$B$4:$B$35,0),MATCH($DB$60,고양시_재차인원!$D$4:$H$4,0))</f>
        <v>15.581508297767508</v>
      </c>
      <c r="DF72" s="267">
        <f>INDEX($AO$60:$BB$74,MATCH($CW72,$L$60:$L$74,0),MATCH(DF$61,$AO$61:$BB$61,0))/INDEX(고양시_재차인원!$D$4:$H$35,MATCH("고양시",고양시_재차인원!$B$4:$B$35,0),MATCH($DF$60,고양시_재차인원!$D$4:$H$4,0))</f>
        <v>11.665557410846434</v>
      </c>
      <c r="DG72" s="267">
        <f>INDEX($AO$60:$BB$74,MATCH($CW72,$L$60:$L$74,0),MATCH(DG$61,$AO$61:$BB$61,0))/INDEX(고양시_재차인원!$K$4:$O$20,MATCH("경기도",고양시_재차인원!$K$4:$K$20,0),MATCH($DG$61,고양시_재차인원!$K$4:$O$4,0))</f>
        <v>1.1200365728511414E-4</v>
      </c>
      <c r="DH72" s="267">
        <f>INDEX($AO$60:$BB$74,MATCH($CW72,$L$60:$L$74,0),MATCH(DH$61,$AO$61:$BB$61,0))/INDEX(고양시_재차인원!$K$4:$O$20,MATCH("경기도",고양시_재차인원!$K$4:$K$20,0),MATCH($DH$61,고양시_재차인원!$K$4:$O$4,0))</f>
        <v>3.1137016725261726E-2</v>
      </c>
      <c r="DI72" s="267">
        <f>INDEX($AO$60:$BB$74,MATCH($CW72,$L$60:$L$74,0),MATCH(DI$61,$AO$61:$BB$61,0))/INDEX(고양시_재차인원!$D$4:$H$35,MATCH("고양시",고양시_재차인원!$B$4:$B$35,0),MATCH($DF$60,고양시_재차인원!$D$4:$H$4,0))</f>
        <v>0.74909596812154433</v>
      </c>
      <c r="DJ72" s="267">
        <f>INDEX($BC$60:$BP$74,MATCH($CW72,$L$60:$L$74,0),MATCH(DJ$61,$BC$61:$BP$61,0))/INDEX(고양시_재차인원!$D$4:$H$35,MATCH("고양시",고양시_재차인원!$B$4:$B$35,0),MATCH($DJ$60,고양시_재차인원!$D$4:$H$4,0))</f>
        <v>3.0239730077966893E-2</v>
      </c>
      <c r="DK72" s="267">
        <f>INDEX($BC$60:$BP$74,MATCH($CW72,$L$60:$L$74,0),MATCH(DK$61,$BC$61:$BP$61,0))/INDEX(고양시_재차인원!$K$4:$O$20,MATCH("경기도",고양시_재차인원!$K$4:$K$20,0),MATCH($DK$61,고양시_재차인원!$K$4:$O$4,0))</f>
        <v>3.037387316206492E-7</v>
      </c>
      <c r="DL72" s="267">
        <f>INDEX($BC$60:$BP$74,MATCH($CW72,$L$60:$L$74,0),MATCH(DL$61,$BC$61:$BP$61,0))/INDEX(고양시_재차인원!$K$4:$O$20,MATCH("경기도",고양시_재차인원!$K$4:$K$20,0),MATCH($DL$61,고양시_재차인원!$K$4:$O$4,0))</f>
        <v>8.4439367390540485E-5</v>
      </c>
      <c r="DM72" s="267">
        <f>INDEX($BC$60:$BP$74,MATCH($CW72,$L$60:$L$74,0),MATCH(DM$61,$BC$61:$BP$61,0))/INDEX(고양시_재차인원!$D$4:$H$35,MATCH("고양시",고양시_재차인원!$B$4:$B$35,0),MATCH($DJ$60,고양시_재차인원!$D$4:$H$4,0))</f>
        <v>1.9418240449810764E-3</v>
      </c>
      <c r="DN72" s="267">
        <f>INDEX($BQ$60:$CD$74,MATCH($CW72,$L$60:$L$74,0),MATCH(DN$61,$BQ$61:$CD$61,0))/INDEX(고양시_재차인원!$D$4:$H$35,MATCH("고양시",고양시_재차인원!$B$4:$B$35,0),MATCH($DN$60,고양시_재차인원!$D$4:$H$4,0))</f>
        <v>9.2479174524152413E-2</v>
      </c>
      <c r="DO72" s="267">
        <f>INDEX($BQ$60:$CD$74,MATCH($CW72,$L$60:$L$74,0),MATCH(DO$61,$BQ$61:$CD$61,0))/INDEX(고양시_재차인원!$K$4:$O$20,MATCH("경기도",고양시_재차인원!$K$4:$K$20,0),MATCH($DO$61,고양시_재차인원!$K$4:$O$4,0))</f>
        <v>8.6059307292516976E-7</v>
      </c>
      <c r="DP72" s="267">
        <f>INDEX($BQ$60:$CD$74,MATCH($CW72,$L$60:$L$74,0),MATCH(DP$61,$BQ$61:$CD$61,0))/INDEX(고양시_재차인원!$K$4:$O$20,MATCH("경기도",고양시_재차인원!$K$4:$K$20,0),MATCH($DP$61,고양시_재차인원!$K$4:$O$4,0))</f>
        <v>2.3924487427319719E-4</v>
      </c>
      <c r="DQ72" s="267">
        <f>INDEX($BQ$60:$CD$74,MATCH($CW72,$L$60:$L$74,0),MATCH(DQ$61,$BQ$61:$CD$61,0))/INDEX(고양시_재차인원!$D$4:$H$35,MATCH("고양시",고양시_재차인원!$B$4:$B$35,0),MATCH($DN$60,고양시_재차인원!$D$4:$H$4,0))</f>
        <v>5.9384883492013671E-3</v>
      </c>
      <c r="DR72" s="270">
        <f t="shared" si="33"/>
        <v>293.720661043044</v>
      </c>
      <c r="DS72" s="270">
        <f t="shared" si="26"/>
        <v>2.9649709402759308E-3</v>
      </c>
      <c r="DT72" s="270">
        <f t="shared" si="27"/>
        <v>0.82426192139670862</v>
      </c>
      <c r="DU72" s="270">
        <f t="shared" si="28"/>
        <v>18.861075831384071</v>
      </c>
      <c r="DW72" s="278" t="s">
        <v>170</v>
      </c>
      <c r="DX72" s="278" t="s">
        <v>170</v>
      </c>
      <c r="DY72" s="281">
        <f t="shared" si="41"/>
        <v>312.58173687442809</v>
      </c>
      <c r="DZ72" s="281">
        <f t="shared" si="42"/>
        <v>0.82722689233698454</v>
      </c>
      <c r="EB72" s="278" t="s">
        <v>171</v>
      </c>
      <c r="EC72" s="278" t="s">
        <v>171</v>
      </c>
      <c r="ED72" s="281">
        <f t="shared" si="45"/>
        <v>12.554175878145539</v>
      </c>
      <c r="EE72" s="281">
        <f t="shared" si="44"/>
        <v>3.3223796122491454E-2</v>
      </c>
      <c r="EK72" s="420" t="s">
        <v>47</v>
      </c>
      <c r="EL72" s="420" t="s">
        <v>47</v>
      </c>
      <c r="EM72" s="420" t="s">
        <v>571</v>
      </c>
      <c r="EN72" s="420">
        <v>2430.8498</v>
      </c>
      <c r="EO72" s="420">
        <v>0.25465418977491561</v>
      </c>
      <c r="EP72" s="421">
        <v>849011</v>
      </c>
      <c r="EQ72" s="422">
        <f t="shared" si="37"/>
        <v>58.279389520044852</v>
      </c>
      <c r="ER72" s="422">
        <f t="shared" si="38"/>
        <v>0.15423254973892031</v>
      </c>
      <c r="ES72">
        <v>0</v>
      </c>
      <c r="EU72" s="306" t="s">
        <v>47</v>
      </c>
      <c r="EV72" s="306" t="s">
        <v>47</v>
      </c>
      <c r="EW72" s="306" t="s">
        <v>571</v>
      </c>
      <c r="EX72" s="306">
        <v>2430.8498</v>
      </c>
      <c r="EY72" s="306">
        <v>0.25465418977491561</v>
      </c>
      <c r="EZ72" s="307">
        <v>849011</v>
      </c>
      <c r="FA72" s="308">
        <f t="shared" si="39"/>
        <v>58.279389520044852</v>
      </c>
      <c r="FB72" s="308">
        <f t="shared" si="30"/>
        <v>0.15423254973892031</v>
      </c>
      <c r="FD72" s="101"/>
      <c r="FE72" s="101"/>
      <c r="FF72" s="101"/>
      <c r="FG72" s="101"/>
      <c r="FH72" s="101"/>
      <c r="FI72" s="374"/>
      <c r="FJ72" s="404"/>
      <c r="FK72" s="404"/>
    </row>
    <row r="73" spans="1:167">
      <c r="A73" s="205" t="s">
        <v>171</v>
      </c>
      <c r="B73" s="205" t="s">
        <v>171</v>
      </c>
      <c r="C73" s="201">
        <f>$L40*KTDB_TripDistribution_2045!L$12</f>
        <v>3.7573579769491556</v>
      </c>
      <c r="D73" s="201">
        <f>$L40*KTDB_TripDistribution_2045!M$12</f>
        <v>29.217716687866719</v>
      </c>
      <c r="E73" s="201">
        <f>$L40*KTDB_TripDistribution_2045!N$12</f>
        <v>1.2950856089733567</v>
      </c>
      <c r="F73" s="201">
        <f>$L40*KTDB_TripDistribution_2045!O$12</f>
        <v>3.5120965667074159E-3</v>
      </c>
      <c r="G73" s="201">
        <f>$L40*KTDB_TripDistribution_2045!P$12</f>
        <v>9.9509402723376439E-3</v>
      </c>
      <c r="H73" s="201">
        <f>$L40*KTDB_TripDistribution_2045!Q$12</f>
        <v>34.283623310628279</v>
      </c>
      <c r="I73" s="56"/>
      <c r="J73" s="56"/>
      <c r="K73" s="206" t="s">
        <v>171</v>
      </c>
      <c r="L73" s="206" t="s">
        <v>171</v>
      </c>
      <c r="M73" s="206">
        <f>INDEX($A$61:$H$74,MATCH($L73,$B$61:$B$74,0),MATCH($M$60,$A$61:$H$61,0))*고양시_Modal_split!C$3 * 0.01</f>
        <v>1.0520602335457634E-2</v>
      </c>
      <c r="N73" s="206">
        <f>INDEX($A$61:$H$74,MATCH($L73,$B$61:$B$74,0),MATCH($M$60,$A$61:$H$61,0))*고양시_Modal_split!D$3 * 0.01</f>
        <v>1.7670854565591878</v>
      </c>
      <c r="O73" s="206">
        <f>INDEX($A$61:$H$74,MATCH($L73,$B$61:$B$74,0),MATCH($M$60,$A$61:$H$61,0))*고양시_Modal_split!E$3 * 0.01</f>
        <v>0.21379366888840692</v>
      </c>
      <c r="P73" s="206">
        <f>INDEX($A$61:$H$74,MATCH($L73,$B$61:$B$74,0),MATCH($M$60,$A$61:$H$61,0))*고양시_Modal_split!F$3 * 0.01</f>
        <v>0.34454972648623761</v>
      </c>
      <c r="Q73" s="206">
        <f>INDEX($A$61:$H$74,MATCH($L73,$B$61:$B$74,0),MATCH($M$60,$A$61:$H$61,0))*고양시_Modal_split!G$3 * 0.01</f>
        <v>3.4567693387932232E-2</v>
      </c>
      <c r="R73" s="206">
        <f>INDEX($A$61:$H$74,MATCH($L73,$B$61:$B$74,0),MATCH($M$60,$A$61:$H$61,0))*고양시_Modal_split!H$3 * 0.01</f>
        <v>3.7573579769491558E-4</v>
      </c>
      <c r="S73" s="206">
        <f>INDEX($A$61:$H$74,MATCH($L73,$B$61:$B$74,0),MATCH($M$60,$A$61:$H$61,0))*고양시_Modal_split!I$3 * 0.01</f>
        <v>0.10445455175918651</v>
      </c>
      <c r="T73" s="206">
        <f>INDEX($A$61:$H$74,MATCH($L73,$B$61:$B$74,0),MATCH($M$60,$A$61:$H$61,0))*고양시_Modal_split!J$3 * 0.01</f>
        <v>1.143739768183323</v>
      </c>
      <c r="U73" s="206">
        <f>INDEX($A$61:$H$74,MATCH($L73,$B$61:$B$74,0),MATCH($M$60,$A$61:$H$61,0))*고양시_Modal_split!K$3 * 0.01</f>
        <v>5.6360369654237328E-3</v>
      </c>
      <c r="V73" s="206">
        <f>INDEX($A$61:$H$74,MATCH($L73,$B$61:$B$74,0),MATCH($M$60,$A$61:$H$61,0))*고양시_Modal_split!L$3 * 0.01</f>
        <v>0.1134722109038645</v>
      </c>
      <c r="W73" s="206">
        <f>INDEX($A$61:$H$74,MATCH($L73,$B$61:$B$74,0),MATCH($M$60,$A$61:$H$61,0))*고양시_Modal_split!M$3 * 0.01</f>
        <v>8.6419233469830579E-3</v>
      </c>
      <c r="X73" s="206">
        <f>INDEX($A$61:$H$74,MATCH($L73,$B$61:$B$74,0),MATCH($M$60,$A$61:$H$61,0))*고양시_Modal_split!N$3 * 0.01</f>
        <v>3.7573579769491564E-3</v>
      </c>
      <c r="Y73" s="206">
        <f>INDEX($A$61:$H$74,MATCH($L73,$B$61:$B$74,0),MATCH($M$60,$A$61:$H$61,0))*고양시_Modal_split!O$3 * 0.01</f>
        <v>6.7632443585084806E-3</v>
      </c>
      <c r="Z73" s="209">
        <f>INDEX($A$61:$H$74,MATCH($L73,$B$61:$B$74,0),MATCH($M$60,$A$61:$H$61,0))*고양시_Modal_split!P$3 * 0.01</f>
        <v>3.7573579769491556</v>
      </c>
      <c r="AA73" s="207">
        <f>INDEX($A$61:$H$74,MATCH($L73,$B$61:$B$74,0),MATCH($AA$60,$A$61:$H$61,0))*고양시_Modal_split!C$3 * 0.01</f>
        <v>8.1809606726026801E-2</v>
      </c>
      <c r="AB73" s="207">
        <f>INDEX($A$61:$H$74,MATCH($L73,$B$61:$B$74,0),MATCH($AA$60,$A$61:$H$61,0))*고양시_Modal_split!D$3 * 0.01</f>
        <v>13.741092158303719</v>
      </c>
      <c r="AC73" s="207">
        <f>INDEX($A$61:$H$74,MATCH($L73,$B$61:$B$74,0),MATCH($AA$60,$A$61:$H$61,0))*고양시_Modal_split!E$3 * 0.01</f>
        <v>1.6624880795396164</v>
      </c>
      <c r="AD73" s="207">
        <f>INDEX($A$61:$H$74,MATCH($L73,$B$61:$B$74,0),MATCH($AA$60,$A$61:$H$61,0))*고양시_Modal_split!F$3 * 0.01</f>
        <v>2.6792646202773787</v>
      </c>
      <c r="AE73" s="207">
        <f>INDEX($A$61:$H$74,MATCH($L73,$B$61:$B$74,0),MATCH($AA$60,$A$61:$H$61,0))*고양시_Modal_split!G$3 * 0.01</f>
        <v>0.26880299352837378</v>
      </c>
      <c r="AF73" s="207">
        <f>INDEX($A$61:$H$74,MATCH($L73,$B$61:$B$74,0),MATCH($AA$60,$A$61:$H$61,0))*고양시_Modal_split!H$3 * 0.01</f>
        <v>2.921771668786672E-3</v>
      </c>
      <c r="AG73" s="207">
        <f>INDEX($A$61:$H$74,MATCH($L73,$B$61:$B$74,0),MATCH($AA$60,$A$61:$H$61,0))*고양시_Modal_split!I$3 * 0.01</f>
        <v>0.81225252392269465</v>
      </c>
      <c r="AH73" s="207">
        <f>INDEX($A$61:$H$74,MATCH($L73,$B$61:$B$74,0),MATCH($AA$60,$A$61:$H$61,0))*고양시_Modal_split!J$3 * 0.01</f>
        <v>8.8938729597866306</v>
      </c>
      <c r="AI73" s="207">
        <f>INDEX($A$61:$H$74,MATCH($L73,$B$61:$B$74,0),MATCH($AA$60,$A$61:$H$61,0))*고양시_Modal_split!K$3 * 0.01</f>
        <v>4.3826575031800083E-2</v>
      </c>
      <c r="AJ73" s="207">
        <f>INDEX($A$61:$H$74,MATCH($L73,$B$61:$B$74,0),MATCH($AA$60,$A$61:$H$61,0))*고양시_Modal_split!L$3 * 0.01</f>
        <v>0.88237504397357502</v>
      </c>
      <c r="AK73" s="207">
        <f>INDEX($A$61:$H$74,MATCH($L73,$B$61:$B$74,0),MATCH($AA$60,$A$61:$H$61,0))*고양시_Modal_split!M$3 * 0.01</f>
        <v>6.7200748382093445E-2</v>
      </c>
      <c r="AL73" s="207">
        <f>INDEX($A$61:$H$74,MATCH($L73,$B$61:$B$74,0),MATCH($AA$60,$A$61:$H$61,0))*고양시_Modal_split!N$3 * 0.01</f>
        <v>2.921771668786672E-2</v>
      </c>
      <c r="AM73" s="207">
        <f>INDEX($A$61:$H$74,MATCH($L73,$B$61:$B$74,0),MATCH($AA$60,$A$61:$H$61,0))*고양시_Modal_split!O$3 * 0.01</f>
        <v>5.2591890038160088E-2</v>
      </c>
      <c r="AN73" s="207">
        <f>INDEX($A$61:$H$74,MATCH($L73,$B$61:$B$74,0),MATCH($AA$60,$A$61:$H$61,0))*고양시_Modal_split!P$3 * 0.01</f>
        <v>29.217716687866719</v>
      </c>
      <c r="AO73" s="303">
        <f>INDEX($A$61:$H$74,MATCH($L73,$B$61:$B$74,0),MATCH($AO$60,$A$61:$H$61,0))*고양시_Modal_split!C$3 * 0.01</f>
        <v>3.626239705125398E-3</v>
      </c>
      <c r="AP73" s="303">
        <f>INDEX($A$61:$H$74,MATCH($L73,$B$61:$B$74,0),MATCH($AO$60,$A$61:$H$61,0))*고양시_Modal_split!D$3 * 0.01</f>
        <v>0.60907876190016963</v>
      </c>
      <c r="AQ73" s="303">
        <f>INDEX($A$61:$H$74,MATCH($L73,$B$61:$B$74,0),MATCH($AO$60,$A$61:$H$61,0))*고양시_Modal_split!E$3 * 0.01</f>
        <v>7.3690371150583994E-2</v>
      </c>
      <c r="AR73" s="303">
        <f>INDEX($A$61:$H$74,MATCH($L73,$B$61:$B$74,0),MATCH($AO$60,$A$61:$H$61,0))*고양시_Modal_split!F$3 * 0.01</f>
        <v>0.1187593503428568</v>
      </c>
      <c r="AS73" s="303">
        <f>INDEX($A$61:$H$74,MATCH($L73,$B$61:$B$74,0),MATCH($AO$60,$A$61:$H$61,0))*고양시_Modal_split!G$3 * 0.01</f>
        <v>1.1914787602554882E-2</v>
      </c>
      <c r="AT73" s="303">
        <f>INDEX($A$61:$H$74,MATCH($L73,$B$61:$B$74,0),MATCH($AO$60,$A$61:$H$61,0))*고양시_Modal_split!H$3 * 0.01</f>
        <v>1.2950856089733565E-4</v>
      </c>
      <c r="AU73" s="303">
        <f>INDEX($A$61:$H$74,MATCH($L73,$B$61:$B$74,0),MATCH($AO$60,$A$61:$H$61,0))*고양시_Modal_split!I$3 * 0.01</f>
        <v>3.6003379929459317E-2</v>
      </c>
      <c r="AV73" s="303">
        <f>INDEX($A$61:$H$74,MATCH($L73,$B$61:$B$74,0),MATCH($AO$60,$A$61:$H$61,0))*고양시_Modal_split!J$3 * 0.01</f>
        <v>0.3942240593714898</v>
      </c>
      <c r="AW73" s="303">
        <f>INDEX($A$61:$H$74,MATCH($L73,$B$61:$B$74,0),MATCH($AO$60,$A$61:$H$61,0))*고양시_Modal_split!K$3 * 0.01</f>
        <v>1.9426284134600349E-3</v>
      </c>
      <c r="AX73" s="303">
        <f>INDEX($A$61:$H$74,MATCH($L73,$B$61:$B$74,0),MATCH($AO$60,$A$61:$H$61,0))*고양시_Modal_split!L$3 * 0.01</f>
        <v>3.9111585390995372E-2</v>
      </c>
      <c r="AY73" s="303">
        <f>INDEX($A$61:$H$74,MATCH($L73,$B$61:$B$74,0),MATCH($AO$60,$A$61:$H$61,0))*고양시_Modal_split!M$3 * 0.01</f>
        <v>2.9786969006387206E-3</v>
      </c>
      <c r="AZ73" s="303">
        <f>INDEX($A$61:$H$74,MATCH($L73,$B$61:$B$74,0),MATCH($AO$60,$A$61:$H$61,0))*고양시_Modal_split!N$3 * 0.01</f>
        <v>1.2950856089733568E-3</v>
      </c>
      <c r="BA73" s="207">
        <f>INDEX($A$61:$H$74,MATCH($L73,$B$61:$B$74,0),MATCH($AO$60,$A$61:$H$61,0))*고양시_Modal_split!O$3 * 0.01</f>
        <v>2.3311540961520418E-3</v>
      </c>
      <c r="BB73" s="207">
        <f>INDEX($A$61:$H$74,MATCH($L73,$B$61:$B$74,0),MATCH($AO$60,$A$61:$H$61,0))*고양시_Modal_split!P$3 * 0.01</f>
        <v>1.2950856089733567</v>
      </c>
      <c r="BC73" s="207">
        <f>INDEX($A$61:$H$74,MATCH($L73,$B$61:$B$74,0),MATCH($BC$60,$A$61:$H$61,0))*고양시_Modal_split!C$3 * 0.01</f>
        <v>9.8338703867807652E-6</v>
      </c>
      <c r="BD73" s="207">
        <f>INDEX($A$61:$H$74,MATCH($L73,$B$61:$B$74,0),MATCH($BC$60,$A$61:$H$61,0))*고양시_Modal_split!D$3 * 0.01</f>
        <v>1.6517390153224978E-3</v>
      </c>
      <c r="BE73" s="207">
        <f>INDEX($A$61:$H$74,MATCH($L73,$B$61:$B$74,0),MATCH($BC$60,$A$61:$H$61,0))*고양시_Modal_split!E$3 * 0.01</f>
        <v>1.9983829464565193E-4</v>
      </c>
      <c r="BF73" s="207">
        <f>INDEX($A$61:$H$74,MATCH($L73,$B$61:$B$74,0),MATCH($BC$60,$A$61:$H$61,0))*고양시_Modal_split!F$3 * 0.01</f>
        <v>3.2205925516707006E-4</v>
      </c>
      <c r="BG73" s="207">
        <f>INDEX($A$61:$H$74,MATCH($L73,$B$61:$B$74,0),MATCH($BC$60,$A$61:$H$61,0))*고양시_Modal_split!G$3 * 0.01</f>
        <v>3.2311288413708229E-5</v>
      </c>
      <c r="BH73" s="207">
        <f>INDEX($A$61:$H$74,MATCH($L73,$B$61:$B$74,0),MATCH($BC$60,$A$61:$H$61,0))*고양시_Modal_split!H$3 * 0.01</f>
        <v>3.5120965667074162E-7</v>
      </c>
      <c r="BI73" s="207">
        <f>INDEX($A$61:$H$74,MATCH($L73,$B$61:$B$74,0),MATCH($BC$60,$A$61:$H$61,0))*고양시_Modal_split!I$3 * 0.01</f>
        <v>9.7636284554466156E-5</v>
      </c>
      <c r="BJ73" s="207">
        <f>INDEX($A$61:$H$74,MATCH($L73,$B$61:$B$74,0),MATCH($BC$60,$A$61:$H$61,0))*고양시_Modal_split!J$3 * 0.01</f>
        <v>1.0690821949057374E-3</v>
      </c>
      <c r="BK73" s="207">
        <f>INDEX($A$61:$H$74,MATCH($L73,$B$61:$B$74,0),MATCH($BC$60,$A$61:$H$61,0))*고양시_Modal_split!K$3 * 0.01</f>
        <v>5.268144850061123E-6</v>
      </c>
      <c r="BL73" s="207">
        <f>INDEX($A$61:$H$74,MATCH($L73,$B$61:$B$74,0),MATCH($BC$60,$A$61:$H$61,0))*고양시_Modal_split!L$3 * 0.01</f>
        <v>1.0606531631456397E-4</v>
      </c>
      <c r="BM73" s="207">
        <f>INDEX($A$61:$H$74,MATCH($L73,$B$61:$B$74,0),MATCH($BC$60,$A$61:$H$61,0))*고양시_Modal_split!M$3 * 0.01</f>
        <v>8.0778221034270573E-6</v>
      </c>
      <c r="BN73" s="207">
        <f>INDEX($A$61:$H$74,MATCH($L73,$B$61:$B$74,0),MATCH($BC$60,$A$61:$H$61,0))*고양시_Modal_split!N$3 * 0.01</f>
        <v>3.5120965667074159E-6</v>
      </c>
      <c r="BO73" s="207">
        <f>INDEX($A$61:$H$74,MATCH($L73,$B$61:$B$74,0),MATCH($BC$60,$A$61:$H$61,0))*고양시_Modal_split!O$3 * 0.01</f>
        <v>6.3217738200733493E-6</v>
      </c>
      <c r="BP73" s="207">
        <f>INDEX($A$61:$H$74,MATCH($L73,$B$61:$B$74,0),MATCH($BC$60,$A$61:$H$61,0))*고양시_Modal_split!P$3 * 0.01</f>
        <v>3.5120965667074164E-3</v>
      </c>
      <c r="BQ73" s="207">
        <f>INDEX($A$61:$H$74,MATCH($L73,$B$61:$B$74,0),MATCH($BQ$60,$A$61:$H$61,0))*고양시_Modal_split!C$3 * 0.01</f>
        <v>2.7862632762545399E-5</v>
      </c>
      <c r="BR73" s="207">
        <f>INDEX($A$61:$H$74,MATCH($L73,$B$61:$B$74,0),MATCH($BQ$60,$A$61:$H$61,0))*고양시_Modal_split!D$3 * 0.01</f>
        <v>4.6799272100803944E-3</v>
      </c>
      <c r="BS73" s="207">
        <f>INDEX($A$61:$H$74,MATCH($L73,$B$61:$B$74,0),MATCH($BQ$60,$A$61:$H$61,0))*고양시_Modal_split!E$3 * 0.01</f>
        <v>5.6620850149601183E-4</v>
      </c>
      <c r="BT73" s="207">
        <f>INDEX($A$61:$H$74,MATCH($L73,$B$61:$B$74,0),MATCH($BQ$60,$A$61:$H$61,0))*고양시_Modal_split!F$3 * 0.01</f>
        <v>9.1250122297336202E-4</v>
      </c>
      <c r="BU73" s="207">
        <f>INDEX($A$61:$H$74,MATCH($L73,$B$61:$B$74,0),MATCH($BQ$60,$A$61:$H$61,0))*고양시_Modal_split!G$3 * 0.01</f>
        <v>9.1548650505506312E-5</v>
      </c>
      <c r="BV73" s="207">
        <f>INDEX($A$61:$H$74,MATCH($L73,$B$61:$B$74,0),MATCH($BQ$60,$A$61:$H$61,0))*고양시_Modal_split!H$3 * 0.01</f>
        <v>9.9509402723376441E-7</v>
      </c>
      <c r="BW73" s="207">
        <f>INDEX($A$61:$H$74,MATCH($L73,$B$61:$B$74,0),MATCH($BQ$60,$A$61:$H$61,0))*고양시_Modal_split!I$3 * 0.01</f>
        <v>2.7663613957098647E-4</v>
      </c>
      <c r="BX73" s="207">
        <f>INDEX($A$61:$H$74,MATCH($L73,$B$61:$B$74,0),MATCH($BQ$60,$A$61:$H$61,0))*고양시_Modal_split!J$3 * 0.01</f>
        <v>3.029066218899579E-3</v>
      </c>
      <c r="BY73" s="207">
        <f>INDEX($A$61:$H$74,MATCH($L73,$B$61:$B$74,0),MATCH($BQ$60,$A$61:$H$61,0))*고양시_Modal_split!K$3 * 0.01</f>
        <v>1.4926410408506466E-5</v>
      </c>
      <c r="BZ73" s="207">
        <f>INDEX($A$61:$H$74,MATCH($L73,$B$61:$B$74,0),MATCH($BQ$60,$A$61:$H$61,0))*고양시_Modal_split!L$3 * 0.01</f>
        <v>3.0051839622459686E-4</v>
      </c>
      <c r="CA73" s="207">
        <f>INDEX($A$61:$H$74,MATCH($L73,$B$61:$B$74,0),MATCH($BQ$60,$A$61:$H$61,0))*고양시_Modal_split!M$3 * 0.01</f>
        <v>2.2887162626376578E-5</v>
      </c>
      <c r="CB73" s="207">
        <f>INDEX($A$61:$H$74,MATCH($L73,$B$61:$B$74,0),MATCH($BQ$60,$A$61:$H$61,0))*고양시_Modal_split!N$3 * 0.01</f>
        <v>9.9509402723376446E-6</v>
      </c>
      <c r="CC73" s="207">
        <f>INDEX($A$61:$H$74,MATCH($L73,$B$61:$B$74,0),MATCH($BQ$60,$A$61:$H$61,0))*고양시_Modal_split!O$3 * 0.01</f>
        <v>1.791169249020776E-5</v>
      </c>
      <c r="CD73" s="207">
        <f>INDEX($A$61:$H$74,MATCH($L73,$B$61:$B$74,0),MATCH($BQ$60,$A$61:$H$61,0))*고양시_Modal_split!P$3 * 0.01</f>
        <v>9.9509402723376439E-3</v>
      </c>
      <c r="CE73" s="304">
        <f t="shared" si="31"/>
        <v>9.5994145269759149E-2</v>
      </c>
      <c r="CF73" s="304">
        <f t="shared" si="13"/>
        <v>16.12358804298848</v>
      </c>
      <c r="CG73" s="304">
        <f t="shared" si="14"/>
        <v>1.9507381663747492</v>
      </c>
      <c r="CH73" s="304">
        <f t="shared" si="15"/>
        <v>3.1438082575846136</v>
      </c>
      <c r="CI73" s="304">
        <f t="shared" si="16"/>
        <v>0.31540933445778008</v>
      </c>
      <c r="CJ73" s="304">
        <f t="shared" si="17"/>
        <v>3.4283623310628277E-3</v>
      </c>
      <c r="CK73" s="304">
        <f t="shared" si="18"/>
        <v>0.95308472803546596</v>
      </c>
      <c r="CL73" s="304">
        <f t="shared" si="19"/>
        <v>10.435934935755251</v>
      </c>
      <c r="CM73" s="304">
        <f t="shared" si="20"/>
        <v>5.1425434965942408E-2</v>
      </c>
      <c r="CN73" s="304">
        <f t="shared" si="21"/>
        <v>1.035365423980974</v>
      </c>
      <c r="CO73" s="304">
        <f t="shared" si="22"/>
        <v>7.8852333614445019E-2</v>
      </c>
      <c r="CP73" s="304">
        <f t="shared" si="23"/>
        <v>3.4283623310628286E-2</v>
      </c>
      <c r="CQ73" s="304">
        <f t="shared" si="24"/>
        <v>6.171052195913089E-2</v>
      </c>
      <c r="CR73" s="304">
        <f t="shared" si="25"/>
        <v>34.283623310628286</v>
      </c>
      <c r="CS73" s="305">
        <f t="shared" si="32"/>
        <v>0</v>
      </c>
      <c r="CV73" s="267" t="s">
        <v>171</v>
      </c>
      <c r="CW73" s="267" t="s">
        <v>171</v>
      </c>
      <c r="CX73" s="267">
        <f>INDEX($M$60:$Z$74,MATCH($CW73,$L$60:$L$74,0),MATCH(CX$61,$M$61:$Z$61,0))/INDEX(고양시_재차인원!$D$4:$H$35,MATCH("고양시",고양시_재차인원!$B$4:$B$35,0),MATCH($CX$60,고양시_재차인원!$D$4:$H$4,0))</f>
        <v>1.577754871927846</v>
      </c>
      <c r="CY73" s="267">
        <f>INDEX($M$60:$Z$74,MATCH($CW73,$L$60:$L$74,0),MATCH(CY$61,$M$61:$Z$61,0))/INDEX(고양시_재차인원!$K$4:$O$20,MATCH("경기도",고양시_재차인원!$K$4:$K$20,0),MATCH($CY$61,고양시_재차인원!$K$4:$O$4,0))</f>
        <v>1.3050913431570532E-5</v>
      </c>
      <c r="CZ73" s="267">
        <f>INDEX($M$60:$Z$74,MATCH($CW73,$L$60:$L$74,0),MATCH(CZ$61,$M$61:$Z$61,0))/INDEX(고양시_재차인원!$K$4:$O$20,MATCH("경기도",고양시_재차인원!$K$4:$K$20,0),MATCH($CZ$61,고양시_재차인원!$K$4:$O$4,0))</f>
        <v>3.6281539339766068E-3</v>
      </c>
      <c r="DA73" s="267">
        <f>INDEX($M$60:$Z$74,MATCH($CW73,$L$60:$L$74,0),MATCH(DA$61,$M$61:$Z$61,0))/INDEX(고양시_재차인원!$D$4:$H$35,MATCH("고양시",고양시_재차인원!$B$4:$B$35,0),MATCH($CX$60,고양시_재차인원!$D$4:$H$4,0))</f>
        <v>0.10131447402130758</v>
      </c>
      <c r="DB73" s="267">
        <f>INDEX($AA$60:$AN$74,MATCH($CW73,$L$60:$L$74,0),MATCH(DB$61,$AA$61:$AN$61,0))/INDEX(고양시_재차인원!$D$4:$H$35,MATCH("고양시",고양시_재차인원!$B$4:$B$35,0),MATCH($DB$60,고양시_재차인원!$D$4:$H$4,0))</f>
        <v>9.7454554314210782</v>
      </c>
      <c r="DC73" s="267">
        <f>INDEX($AA$60:$AN$74,MATCH($CW73,$L$60:$L$74,0),MATCH(DC$61,$AA$61:$AN$61,0))/INDEX(고양시_재차인원!$K$4:$O$20,MATCH("경기도",고양시_재차인원!$K$4:$K$20,0),MATCH($DC$61,고양시_재차인원!$K$4:$O$4,0))</f>
        <v>1.0148564323677222E-4</v>
      </c>
      <c r="DD73" s="267">
        <f>INDEX($AA$60:$AN$74,MATCH($CW73,$L$60:$L$74,0),MATCH(DD$61,$AA$61:$AN$61,0))/INDEX(고양시_재차인원!$K$4:$O$20,MATCH("경기도",고양시_재차인원!$K$4:$K$20,0),MATCH($DD$61,고양시_재차인원!$K$4:$O$4,0))</f>
        <v>2.8213008819822669E-2</v>
      </c>
      <c r="DE73" s="267">
        <f>INDEX($AA$60:$AN$74,MATCH($CW73,$L$60:$L$74,0),MATCH(DE$61,$AA$61:$AN$61,0))/INDEX(고양시_재차인원!$D$4:$H$35,MATCH("고양시",고양시_재차인원!$B$4:$B$35,0),MATCH($DB$60,고양시_재차인원!$D$4:$H$4,0))</f>
        <v>0.6257979035273582</v>
      </c>
      <c r="DF73" s="267">
        <f>INDEX($AO$60:$BB$74,MATCH($CW73,$L$60:$L$74,0),MATCH(DF$61,$AO$61:$BB$61,0))/INDEX(고양시_재차인원!$D$4:$H$35,MATCH("고양시",고양시_재차인원!$B$4:$B$35,0),MATCH($DF$60,고양시_재차인원!$D$4:$H$4,0))</f>
        <v>0.46852212453859199</v>
      </c>
      <c r="DG73" s="267">
        <f>INDEX($AO$60:$BB$74,MATCH($CW73,$L$60:$L$74,0),MATCH(DG$61,$AO$61:$BB$61,0))/INDEX(고양시_재차인원!$K$4:$O$20,MATCH("경기도",고양시_재차인원!$K$4:$K$20,0),MATCH($DG$61,고양시_재차인원!$K$4:$O$4,0))</f>
        <v>4.498386971078001E-6</v>
      </c>
      <c r="DH73" s="267">
        <f>INDEX($AO$60:$BB$74,MATCH($CW73,$L$60:$L$74,0),MATCH(DH$61,$AO$61:$BB$61,0))/INDEX(고양시_재차인원!$K$4:$O$20,MATCH("경기도",고양시_재차인원!$K$4:$K$20,0),MATCH($DH$61,고양시_재차인원!$K$4:$O$4,0))</f>
        <v>1.2505515779596846E-3</v>
      </c>
      <c r="DI73" s="267">
        <f>INDEX($AO$60:$BB$74,MATCH($CW73,$L$60:$L$74,0),MATCH(DI$61,$AO$61:$BB$61,0))/INDEX(고양시_재차인원!$D$4:$H$35,MATCH("고양시",고양시_재차인원!$B$4:$B$35,0),MATCH($DF$60,고양시_재차인원!$D$4:$H$4,0))</f>
        <v>3.0085834916150286E-2</v>
      </c>
      <c r="DJ73" s="267">
        <f>INDEX($BC$60:$BP$74,MATCH($CW73,$L$60:$L$74,0),MATCH(DJ$61,$BC$61:$BP$61,0))/INDEX(고양시_재차인원!$D$4:$H$35,MATCH("고양시",고양시_재차인원!$B$4:$B$35,0),MATCH($DJ$60,고양시_재차인원!$D$4:$H$4,0))</f>
        <v>1.2145139818547778E-3</v>
      </c>
      <c r="DK73" s="267">
        <f>INDEX($BC$60:$BP$74,MATCH($CW73,$L$60:$L$74,0),MATCH(DK$61,$BC$61:$BP$61,0))/INDEX(고양시_재차인원!$K$4:$O$20,MATCH("경기도",고양시_재차인원!$K$4:$K$20,0),MATCH($DK$61,고양시_재차인원!$K$4:$O$4,0))</f>
        <v>1.2199015514787831E-8</v>
      </c>
      <c r="DL73" s="267">
        <f>INDEX($BC$60:$BP$74,MATCH($CW73,$L$60:$L$74,0),MATCH(DL$61,$BC$61:$BP$61,0))/INDEX(고양시_재차인원!$K$4:$O$20,MATCH("경기도",고양시_재차인원!$K$4:$K$20,0),MATCH($DL$61,고양시_재차인원!$K$4:$O$4,0))</f>
        <v>3.3913263131110165E-6</v>
      </c>
      <c r="DM73" s="267">
        <f>INDEX($BC$60:$BP$74,MATCH($CW73,$L$60:$L$74,0),MATCH(DM$61,$BC$61:$BP$61,0))/INDEX(고양시_재차인원!$D$4:$H$35,MATCH("고양시",고양시_재차인원!$B$4:$B$35,0),MATCH($DJ$60,고양시_재차인원!$D$4:$H$4,0))</f>
        <v>7.7989203172473503E-5</v>
      </c>
      <c r="DN73" s="267">
        <f>INDEX($BQ$60:$CD$74,MATCH($CW73,$L$60:$L$74,0),MATCH(DN$61,$BQ$61:$CD$61,0))/INDEX(고양시_재차인원!$D$4:$H$35,MATCH("고양시",고양시_재차인원!$B$4:$B$35,0),MATCH($DN$60,고양시_재차인원!$D$4:$H$4,0))</f>
        <v>3.7142279445082495E-3</v>
      </c>
      <c r="DO73" s="267">
        <f>INDEX($BQ$60:$CD$74,MATCH($CW73,$L$60:$L$74,0),MATCH(DO$61,$BQ$61:$CD$61,0))/INDEX(고양시_재차인원!$K$4:$O$20,MATCH("경기도",고양시_재차인원!$K$4:$K$20,0),MATCH($DO$61,고양시_재차인원!$K$4:$O$4,0))</f>
        <v>3.4563877291898732E-8</v>
      </c>
      <c r="DP73" s="267">
        <f>INDEX($BQ$60:$CD$74,MATCH($CW73,$L$60:$L$74,0),MATCH(DP$61,$BQ$61:$CD$61,0))/INDEX(고양시_재차인원!$K$4:$O$20,MATCH("경기도",고양시_재차인원!$K$4:$K$20,0),MATCH($DP$61,고양시_재차인원!$K$4:$O$4,0))</f>
        <v>9.6087578871478458E-6</v>
      </c>
      <c r="DQ73" s="267">
        <f>INDEX($BQ$60:$CD$74,MATCH($CW73,$L$60:$L$74,0),MATCH(DQ$61,$BQ$61:$CD$61,0))/INDEX(고양시_재차인원!$D$4:$H$35,MATCH("고양시",고양시_재차인원!$B$4:$B$35,0),MATCH($DN$60,고양시_재차인원!$D$4:$H$4,0))</f>
        <v>2.3850666367031498E-4</v>
      </c>
      <c r="DR73" s="270">
        <f t="shared" si="33"/>
        <v>11.796661169813881</v>
      </c>
      <c r="DS73" s="270">
        <f t="shared" si="26"/>
        <v>1.1908170653222742E-4</v>
      </c>
      <c r="DT73" s="270">
        <f t="shared" si="27"/>
        <v>3.3104714415959226E-2</v>
      </c>
      <c r="DU73" s="270">
        <f t="shared" si="28"/>
        <v>0.75751470833165879</v>
      </c>
      <c r="DW73" s="278" t="s">
        <v>171</v>
      </c>
      <c r="DX73" s="278" t="s">
        <v>171</v>
      </c>
      <c r="DY73" s="281">
        <f t="shared" si="41"/>
        <v>12.554175878145539</v>
      </c>
      <c r="DZ73" s="281">
        <f t="shared" si="42"/>
        <v>3.3223796122491454E-2</v>
      </c>
      <c r="EB73" s="278" t="s">
        <v>26</v>
      </c>
      <c r="EC73" s="278" t="s">
        <v>26</v>
      </c>
      <c r="ED73" s="281">
        <f t="shared" si="45"/>
        <v>5401.2737206105185</v>
      </c>
      <c r="EE73" s="281">
        <f t="shared" si="44"/>
        <v>14.294113658844376</v>
      </c>
      <c r="EK73" s="420" t="s">
        <v>47</v>
      </c>
      <c r="EL73" s="420" t="s">
        <v>47</v>
      </c>
      <c r="EM73" s="420" t="s">
        <v>572</v>
      </c>
      <c r="EN73" s="420">
        <v>2252.9902000000002</v>
      </c>
      <c r="EO73" s="420">
        <v>0.23602173772802626</v>
      </c>
      <c r="EP73" s="421">
        <v>849012</v>
      </c>
      <c r="EQ73" s="422">
        <f t="shared" si="37"/>
        <v>54.015222763102749</v>
      </c>
      <c r="ER73" s="422">
        <f t="shared" si="38"/>
        <v>0.14294771445064192</v>
      </c>
      <c r="ES73">
        <v>0</v>
      </c>
      <c r="EU73" s="306" t="s">
        <v>47</v>
      </c>
      <c r="EV73" s="306" t="s">
        <v>47</v>
      </c>
      <c r="EW73" s="306" t="s">
        <v>572</v>
      </c>
      <c r="EX73" s="306">
        <v>2252.9902000000002</v>
      </c>
      <c r="EY73" s="306">
        <v>0.23602173772802626</v>
      </c>
      <c r="EZ73" s="307">
        <v>849012</v>
      </c>
      <c r="FA73" s="308">
        <f t="shared" si="39"/>
        <v>54.015222763102749</v>
      </c>
      <c r="FB73" s="308">
        <f t="shared" si="30"/>
        <v>0.14294771445064192</v>
      </c>
      <c r="FD73" s="101"/>
      <c r="FE73" s="101"/>
      <c r="FF73" s="101"/>
      <c r="FG73" s="101"/>
      <c r="FH73" s="101"/>
      <c r="FI73" s="374"/>
      <c r="FJ73" s="404"/>
      <c r="FK73" s="404"/>
    </row>
    <row r="74" spans="1:167">
      <c r="A74" s="205" t="s">
        <v>26</v>
      </c>
      <c r="B74" s="205" t="s">
        <v>26</v>
      </c>
      <c r="C74" s="201">
        <f>$L41*KTDB_TripDistribution_2045!L$12</f>
        <v>1616.5552479753549</v>
      </c>
      <c r="D74" s="201">
        <f>$L41*KTDB_TripDistribution_2045!M$12</f>
        <v>12570.549182534594</v>
      </c>
      <c r="E74" s="201">
        <f>$L41*KTDB_TripDistribution_2045!N$12</f>
        <v>557.19403118016191</v>
      </c>
      <c r="F74" s="201">
        <f>$L41*KTDB_TripDistribution_2045!O$12</f>
        <v>1.5110346608275613</v>
      </c>
      <c r="G74" s="201">
        <f>$L41*KTDB_TripDistribution_2045!P$12</f>
        <v>4.2812648723447415</v>
      </c>
      <c r="H74" s="201">
        <f>$L41*KTDB_TripDistribution_2045!Q$12</f>
        <v>14750.090761223284</v>
      </c>
      <c r="I74" t="b">
        <f>H74=$K$41</f>
        <v>1</v>
      </c>
      <c r="J74" s="230">
        <f>CR74</f>
        <v>14750.090761223286</v>
      </c>
      <c r="K74" s="206" t="s">
        <v>26</v>
      </c>
      <c r="L74" s="206" t="s">
        <v>26</v>
      </c>
      <c r="M74" s="206">
        <f>INDEX($A$61:$H$74,MATCH($L74,$B$61:$B$74,0),MATCH($M$60,$A$61:$H$61,0))*고양시_Modal_split!C$3 * 0.01</f>
        <v>4.5263546943309931</v>
      </c>
      <c r="N74" s="206">
        <f>INDEX($A$61:$H$74,MATCH($L74,$B$61:$B$74,0),MATCH($M$60,$A$61:$H$61,0))*고양시_Modal_split!D$3 * 0.01</f>
        <v>760.26593312280943</v>
      </c>
      <c r="O74" s="206">
        <f>INDEX($A$61:$H$74,MATCH($L74,$B$61:$B$74,0),MATCH($M$60,$A$61:$H$61,0))*고양시_Modal_split!E$3 * 0.01</f>
        <v>91.981993609797684</v>
      </c>
      <c r="P74" s="206">
        <f>INDEX($A$61:$H$74,MATCH($L74,$B$61:$B$74,0),MATCH($M$60,$A$61:$H$61,0))*고양시_Modal_split!F$3 * 0.01</f>
        <v>148.23811623934003</v>
      </c>
      <c r="Q74" s="206">
        <f>INDEX($A$61:$H$74,MATCH($L74,$B$61:$B$74,0),MATCH($M$60,$A$61:$H$61,0))*고양시_Modal_split!G$3 * 0.01</f>
        <v>14.872308281373265</v>
      </c>
      <c r="R74" s="206">
        <f>INDEX($A$61:$H$74,MATCH($L74,$B$61:$B$74,0),MATCH($M$60,$A$61:$H$61,0))*고양시_Modal_split!H$3 * 0.01</f>
        <v>0.1616555247975355</v>
      </c>
      <c r="S74" s="206">
        <f>INDEX($A$61:$H$74,MATCH($L74,$B$61:$B$74,0),MATCH($M$60,$A$61:$H$61,0))*고양시_Modal_split!I$3 * 0.01</f>
        <v>44.940235893714863</v>
      </c>
      <c r="T74" s="206">
        <f>INDEX($A$61:$H$74,MATCH($L74,$B$61:$B$74,0),MATCH($M$60,$A$61:$H$61,0))*고양시_Modal_split!J$3 * 0.01</f>
        <v>492.07941748369808</v>
      </c>
      <c r="U74" s="206">
        <f>INDEX($A$61:$H$74,MATCH($L74,$B$61:$B$74,0),MATCH($M$60,$A$61:$H$61,0))*고양시_Modal_split!K$3 * 0.01</f>
        <v>2.4248328719630323</v>
      </c>
      <c r="V74" s="206">
        <f>INDEX($A$61:$H$74,MATCH($L74,$B$61:$B$74,0),MATCH($M$60,$A$61:$H$61,0))*고양시_Modal_split!L$3 * 0.01</f>
        <v>48.819968488855721</v>
      </c>
      <c r="W74" s="206">
        <f>INDEX($A$61:$H$74,MATCH($L74,$B$61:$B$74,0),MATCH($M$60,$A$61:$H$61,0))*고양시_Modal_split!M$3 * 0.01</f>
        <v>3.7180770703433161</v>
      </c>
      <c r="X74" s="206">
        <f>INDEX($A$61:$H$74,MATCH($L74,$B$61:$B$74,0),MATCH($M$60,$A$61:$H$61,0))*고양시_Modal_split!N$3 * 0.01</f>
        <v>1.6165552479753549</v>
      </c>
      <c r="Y74" s="206">
        <f>INDEX($A$61:$H$74,MATCH($L74,$B$61:$B$74,0),MATCH($M$60,$A$61:$H$61,0))*고양시_Modal_split!O$3 * 0.01</f>
        <v>2.9097994463556387</v>
      </c>
      <c r="Z74" s="209">
        <f>INDEX($A$61:$H$74,MATCH($L74,$B$61:$B$74,0),MATCH($M$60,$A$61:$H$61,0))*고양시_Modal_split!P$3 * 0.01</f>
        <v>1616.5552479753549</v>
      </c>
      <c r="AA74" s="207">
        <f>INDEX($A$61:$H$74,MATCH($L74,$B$61:$B$74,0),MATCH($AA$60,$A$61:$H$61,0))*고양시_Modal_split!C$3 * 0.01</f>
        <v>35.197537711096864</v>
      </c>
      <c r="AB74" s="207">
        <f>INDEX($A$61:$H$74,MATCH($L74,$B$61:$B$74,0),MATCH($AA$60,$A$61:$H$61,0))*고양시_Modal_split!D$3 * 0.01</f>
        <v>5911.92928054602</v>
      </c>
      <c r="AC74" s="207">
        <f>INDEX($A$61:$H$74,MATCH($L74,$B$61:$B$74,0),MATCH($AA$60,$A$61:$H$61,0))*고양시_Modal_split!E$3 * 0.01</f>
        <v>715.26424848621843</v>
      </c>
      <c r="AD74" s="207">
        <f>INDEX($A$61:$H$74,MATCH($L74,$B$61:$B$74,0),MATCH($AA$60,$A$61:$H$61,0))*고양시_Modal_split!F$3 * 0.01</f>
        <v>1152.7193600384223</v>
      </c>
      <c r="AE74" s="207">
        <f>INDEX($A$61:$H$74,MATCH($L74,$B$61:$B$74,0),MATCH($AA$60,$A$61:$H$61,0))*고양시_Modal_split!G$3 * 0.01</f>
        <v>115.64905247931826</v>
      </c>
      <c r="AF74" s="207">
        <f>INDEX($A$61:$H$74,MATCH($L74,$B$61:$B$74,0),MATCH($AA$60,$A$61:$H$61,0))*고양시_Modal_split!H$3 * 0.01</f>
        <v>1.2570549182534594</v>
      </c>
      <c r="AG74" s="207">
        <f>INDEX($A$61:$H$74,MATCH($L74,$B$61:$B$74,0),MATCH($AA$60,$A$61:$H$61,0))*고양시_Modal_split!I$3 * 0.01</f>
        <v>349.4612672744617</v>
      </c>
      <c r="AH74" s="207">
        <f>INDEX($A$61:$H$74,MATCH($L74,$B$61:$B$74,0),MATCH($AA$60,$A$61:$H$61,0))*고양시_Modal_split!J$3 * 0.01</f>
        <v>3826.4751711635308</v>
      </c>
      <c r="AI74" s="207">
        <f>INDEX($A$61:$H$74,MATCH($L74,$B$61:$B$74,0),MATCH($AA$60,$A$61:$H$61,0))*고양시_Modal_split!K$3 * 0.01</f>
        <v>18.855823773801891</v>
      </c>
      <c r="AJ74" s="207">
        <f>INDEX($A$61:$H$74,MATCH($L74,$B$61:$B$74,0),MATCH($AA$60,$A$61:$H$61,0))*고양시_Modal_split!L$3 * 0.01</f>
        <v>379.63058531254472</v>
      </c>
      <c r="AK74" s="207">
        <f>INDEX($A$61:$H$74,MATCH($L74,$B$61:$B$74,0),MATCH($AA$60,$A$61:$H$61,0))*고양시_Modal_split!M$3 * 0.01</f>
        <v>28.912263119829564</v>
      </c>
      <c r="AL74" s="207">
        <f>INDEX($A$61:$H$74,MATCH($L74,$B$61:$B$74,0),MATCH($AA$60,$A$61:$H$61,0))*고양시_Modal_split!N$3 * 0.01</f>
        <v>12.570549182534597</v>
      </c>
      <c r="AM74" s="207">
        <f>INDEX($A$61:$H$74,MATCH($L74,$B$61:$B$74,0),MATCH($AA$60,$A$61:$H$61,0))*고양시_Modal_split!O$3 * 0.01</f>
        <v>22.626988528562268</v>
      </c>
      <c r="AN74" s="207">
        <f>INDEX($A$61:$H$74,MATCH($L74,$B$61:$B$74,0),MATCH($AA$60,$A$61:$H$61,0))*고양시_Modal_split!P$3 * 0.01</f>
        <v>12570.549182534596</v>
      </c>
      <c r="AO74" s="303">
        <f>INDEX($A$61:$H$74,MATCH($L74,$B$61:$B$74,0),MATCH($AO$60,$A$61:$H$61,0))*고양시_Modal_split!C$3 * 0.01</f>
        <v>1.5601432873044534</v>
      </c>
      <c r="AP74" s="303">
        <f>INDEX($A$61:$H$74,MATCH($L74,$B$61:$B$74,0),MATCH($AO$60,$A$61:$H$61,0))*고양시_Modal_split!D$3 * 0.01</f>
        <v>262.04835286403016</v>
      </c>
      <c r="AQ74" s="303">
        <f>INDEX($A$61:$H$74,MATCH($L74,$B$61:$B$74,0),MATCH($AO$60,$A$61:$H$61,0))*고양시_Modal_split!E$3 * 0.01</f>
        <v>31.704340374151212</v>
      </c>
      <c r="AR74" s="303">
        <f>INDEX($A$61:$H$74,MATCH($L74,$B$61:$B$74,0),MATCH($AO$60,$A$61:$H$61,0))*고양시_Modal_split!F$3 * 0.01</f>
        <v>51.094692659220847</v>
      </c>
      <c r="AS74" s="303">
        <f>INDEX($A$61:$H$74,MATCH($L74,$B$61:$B$74,0),MATCH($AO$60,$A$61:$H$61,0))*고양시_Modal_split!G$3 * 0.01</f>
        <v>5.1261850868574887</v>
      </c>
      <c r="AT74" s="303">
        <f>INDEX($A$61:$H$74,MATCH($L74,$B$61:$B$74,0),MATCH($AO$60,$A$61:$H$61,0))*고양시_Modal_split!H$3 * 0.01</f>
        <v>5.5719403118016188E-2</v>
      </c>
      <c r="AU74" s="303">
        <f>INDEX($A$61:$H$74,MATCH($L74,$B$61:$B$74,0),MATCH($AO$60,$A$61:$H$61,0))*고양시_Modal_split!I$3 * 0.01</f>
        <v>15.489994066808499</v>
      </c>
      <c r="AV74" s="303">
        <f>INDEX($A$61:$H$74,MATCH($L74,$B$61:$B$74,0),MATCH($AO$60,$A$61:$H$61,0))*고양시_Modal_split!J$3 * 0.01</f>
        <v>169.60986309124129</v>
      </c>
      <c r="AW74" s="303">
        <f>INDEX($A$61:$H$74,MATCH($L74,$B$61:$B$74,0),MATCH($AO$60,$A$61:$H$61,0))*고양시_Modal_split!K$3 * 0.01</f>
        <v>0.83579104677024296</v>
      </c>
      <c r="AX74" s="303">
        <f>INDEX($A$61:$H$74,MATCH($L74,$B$61:$B$74,0),MATCH($AO$60,$A$61:$H$61,0))*고양시_Modal_split!L$3 * 0.01</f>
        <v>16.827259741640891</v>
      </c>
      <c r="AY74" s="303">
        <f>INDEX($A$61:$H$74,MATCH($L74,$B$61:$B$74,0),MATCH($AO$60,$A$61:$H$61,0))*고양시_Modal_split!M$3 * 0.01</f>
        <v>1.2815462717143722</v>
      </c>
      <c r="AZ74" s="303">
        <f>INDEX($A$61:$H$74,MATCH($L74,$B$61:$B$74,0),MATCH($AO$60,$A$61:$H$61,0))*고양시_Modal_split!N$3 * 0.01</f>
        <v>0.55719403118016197</v>
      </c>
      <c r="BA74" s="207">
        <f>INDEX($A$61:$H$74,MATCH($L74,$B$61:$B$74,0),MATCH($AO$60,$A$61:$H$61,0))*고양시_Modal_split!O$3 * 0.01</f>
        <v>1.0029492561242914</v>
      </c>
      <c r="BB74" s="207">
        <f>INDEX($A$61:$H$74,MATCH($L74,$B$61:$B$74,0),MATCH($AO$60,$A$61:$H$61,0))*고양시_Modal_split!P$3 * 0.01</f>
        <v>557.19403118016191</v>
      </c>
      <c r="BC74" s="207">
        <f>INDEX($A$61:$H$74,MATCH($L74,$B$61:$B$74,0),MATCH($BC$60,$A$61:$H$61,0))*고양시_Modal_split!C$3 * 0.01</f>
        <v>4.2308970503171714E-3</v>
      </c>
      <c r="BD74" s="207">
        <f>INDEX($A$61:$H$74,MATCH($L74,$B$61:$B$74,0),MATCH($BC$60,$A$61:$H$61,0))*고양시_Modal_split!D$3 * 0.01</f>
        <v>0.71063960098720214</v>
      </c>
      <c r="BE74" s="207">
        <f>INDEX($A$61:$H$74,MATCH($L74,$B$61:$B$74,0),MATCH($BC$60,$A$61:$H$61,0))*고양시_Modal_split!E$3 * 0.01</f>
        <v>8.597787220108824E-2</v>
      </c>
      <c r="BF74" s="207">
        <f>INDEX($A$61:$H$74,MATCH($L74,$B$61:$B$74,0),MATCH($BC$60,$A$61:$H$61,0))*고양시_Modal_split!F$3 * 0.01</f>
        <v>0.13856187839788736</v>
      </c>
      <c r="BG74" s="207">
        <f>INDEX($A$61:$H$74,MATCH($L74,$B$61:$B$74,0),MATCH($BC$60,$A$61:$H$61,0))*고양시_Modal_split!G$3 * 0.01</f>
        <v>1.3901518879613564E-2</v>
      </c>
      <c r="BH74" s="207">
        <f>INDEX($A$61:$H$74,MATCH($L74,$B$61:$B$74,0),MATCH($BC$60,$A$61:$H$61,0))*고양시_Modal_split!H$3 * 0.01</f>
        <v>1.5110346608275614E-4</v>
      </c>
      <c r="BI74" s="207">
        <f>INDEX($A$61:$H$74,MATCH($L74,$B$61:$B$74,0),MATCH($BC$60,$A$61:$H$61,0))*고양시_Modal_split!I$3 * 0.01</f>
        <v>4.2006763571006196E-2</v>
      </c>
      <c r="BJ74" s="207">
        <f>INDEX($A$61:$H$74,MATCH($L74,$B$61:$B$74,0),MATCH($BC$60,$A$61:$H$61,0))*고양시_Modal_split!J$3 * 0.01</f>
        <v>0.45995895075590965</v>
      </c>
      <c r="BK74" s="207">
        <f>INDEX($A$61:$H$74,MATCH($L74,$B$61:$B$74,0),MATCH($BC$60,$A$61:$H$61,0))*고양시_Modal_split!K$3 * 0.01</f>
        <v>2.2665519912413419E-3</v>
      </c>
      <c r="BL74" s="207">
        <f>INDEX($A$61:$H$74,MATCH($L74,$B$61:$B$74,0),MATCH($BC$60,$A$61:$H$61,0))*고양시_Modal_split!L$3 * 0.01</f>
        <v>4.5633246756992353E-2</v>
      </c>
      <c r="BM74" s="207">
        <f>INDEX($A$61:$H$74,MATCH($L74,$B$61:$B$74,0),MATCH($BC$60,$A$61:$H$61,0))*고양시_Modal_split!M$3 * 0.01</f>
        <v>3.475379719903391E-3</v>
      </c>
      <c r="BN74" s="207">
        <f>INDEX($A$61:$H$74,MATCH($L74,$B$61:$B$74,0),MATCH($BC$60,$A$61:$H$61,0))*고양시_Modal_split!N$3 * 0.01</f>
        <v>1.5110346608275616E-3</v>
      </c>
      <c r="BO74" s="207">
        <f>INDEX($A$61:$H$74,MATCH($L74,$B$61:$B$74,0),MATCH($BC$60,$A$61:$H$61,0))*고양시_Modal_split!O$3 * 0.01</f>
        <v>2.7198623894896102E-3</v>
      </c>
      <c r="BP74" s="207">
        <f>INDEX($A$61:$H$74,MATCH($L74,$B$61:$B$74,0),MATCH($BC$60,$A$61:$H$61,0))*고양시_Modal_split!P$3 * 0.01</f>
        <v>1.5110346608275615</v>
      </c>
      <c r="BQ74" s="207">
        <f>INDEX($A$61:$H$74,MATCH($L74,$B$61:$B$74,0),MATCH($BQ$60,$A$61:$H$61,0))*고양시_Modal_split!C$3 * 0.01</f>
        <v>1.1987541642565276E-2</v>
      </c>
      <c r="BR74" s="207">
        <f>INDEX($A$61:$H$74,MATCH($L74,$B$61:$B$74,0),MATCH($BQ$60,$A$61:$H$61,0))*고양시_Modal_split!D$3 * 0.01</f>
        <v>2.0134788694637318</v>
      </c>
      <c r="BS74" s="207">
        <f>INDEX($A$61:$H$74,MATCH($L74,$B$61:$B$74,0),MATCH($BQ$60,$A$61:$H$61,0))*고양시_Modal_split!E$3 * 0.01</f>
        <v>0.24360397123641578</v>
      </c>
      <c r="BT74" s="207">
        <f>INDEX($A$61:$H$74,MATCH($L74,$B$61:$B$74,0),MATCH($BQ$60,$A$61:$H$61,0))*고양시_Modal_split!F$3 * 0.01</f>
        <v>0.3925919887940128</v>
      </c>
      <c r="BU74" s="207">
        <f>INDEX($A$61:$H$74,MATCH($L74,$B$61:$B$74,0),MATCH($BQ$60,$A$61:$H$61,0))*고양시_Modal_split!G$3 * 0.01</f>
        <v>3.9387636825571615E-2</v>
      </c>
      <c r="BV74" s="207">
        <f>INDEX($A$61:$H$74,MATCH($L74,$B$61:$B$74,0),MATCH($BQ$60,$A$61:$H$61,0))*고양시_Modal_split!H$3 * 0.01</f>
        <v>4.2812648723447415E-4</v>
      </c>
      <c r="BW74" s="207">
        <f>INDEX($A$61:$H$74,MATCH($L74,$B$61:$B$74,0),MATCH($BQ$60,$A$61:$H$61,0))*고양시_Modal_split!I$3 * 0.01</f>
        <v>0.1190191634511838</v>
      </c>
      <c r="BX74" s="207">
        <f>INDEX($A$61:$H$74,MATCH($L74,$B$61:$B$74,0),MATCH($BQ$60,$A$61:$H$61,0))*고양시_Modal_split!J$3 * 0.01</f>
        <v>1.3032170271417394</v>
      </c>
      <c r="BY74" s="207">
        <f>INDEX($A$61:$H$74,MATCH($L74,$B$61:$B$74,0),MATCH($BQ$60,$A$61:$H$61,0))*고양시_Modal_split!K$3 * 0.01</f>
        <v>6.4218973085171114E-3</v>
      </c>
      <c r="BZ74" s="207">
        <f>INDEX($A$61:$H$74,MATCH($L74,$B$61:$B$74,0),MATCH($BQ$60,$A$61:$H$61,0))*고양시_Modal_split!L$3 * 0.01</f>
        <v>0.12929419914481119</v>
      </c>
      <c r="CA74" s="207">
        <f>INDEX($A$61:$H$74,MATCH($L74,$B$61:$B$74,0),MATCH($BQ$60,$A$61:$H$61,0))*고양시_Modal_split!M$3 * 0.01</f>
        <v>9.8469092063929037E-3</v>
      </c>
      <c r="CB74" s="207">
        <f>INDEX($A$61:$H$74,MATCH($L74,$B$61:$B$74,0),MATCH($BQ$60,$A$61:$H$61,0))*고양시_Modal_split!N$3 * 0.01</f>
        <v>4.2812648723447415E-3</v>
      </c>
      <c r="CC74" s="207">
        <f>INDEX($A$61:$H$74,MATCH($L74,$B$61:$B$74,0),MATCH($BQ$60,$A$61:$H$61,0))*고양시_Modal_split!O$3 * 0.01</f>
        <v>7.7062767702205347E-3</v>
      </c>
      <c r="CD74" s="207">
        <f>INDEX($A$61:$H$74,MATCH($L74,$B$61:$B$74,0),MATCH($BQ$60,$A$61:$H$61,0))*고양시_Modal_split!P$3 * 0.01</f>
        <v>4.2812648723447415</v>
      </c>
      <c r="CE74" s="304">
        <f t="shared" si="31"/>
        <v>41.300254131425199</v>
      </c>
      <c r="CF74" s="304">
        <f t="shared" si="13"/>
        <v>6936.9676850033111</v>
      </c>
      <c r="CG74" s="304">
        <f t="shared" si="14"/>
        <v>839.28016431360481</v>
      </c>
      <c r="CH74" s="304">
        <f t="shared" si="15"/>
        <v>1352.5833228041752</v>
      </c>
      <c r="CI74" s="304">
        <f t="shared" si="16"/>
        <v>135.70083500325418</v>
      </c>
      <c r="CJ74" s="304">
        <f t="shared" si="17"/>
        <v>1.4750090761223285</v>
      </c>
      <c r="CK74" s="304">
        <f t="shared" si="18"/>
        <v>410.05252316200728</v>
      </c>
      <c r="CL74" s="304">
        <f t="shared" si="19"/>
        <v>4489.9276277163681</v>
      </c>
      <c r="CM74" s="304">
        <f t="shared" si="20"/>
        <v>22.125136141834925</v>
      </c>
      <c r="CN74" s="304">
        <f t="shared" si="21"/>
        <v>445.45274098894316</v>
      </c>
      <c r="CO74" s="304">
        <f t="shared" si="22"/>
        <v>33.925208750813546</v>
      </c>
      <c r="CP74" s="304">
        <f t="shared" si="23"/>
        <v>14.750090761223285</v>
      </c>
      <c r="CQ74" s="304">
        <f t="shared" si="24"/>
        <v>26.550163370201911</v>
      </c>
      <c r="CR74" s="304">
        <f t="shared" si="25"/>
        <v>14750.090761223286</v>
      </c>
      <c r="CS74" s="305">
        <f t="shared" si="32"/>
        <v>0</v>
      </c>
      <c r="CV74" s="267" t="s">
        <v>26</v>
      </c>
      <c r="CW74" s="267" t="s">
        <v>26</v>
      </c>
      <c r="CX74" s="267">
        <f>INDEX($M$60:$Z$74,MATCH($CW74,$L$60:$L$74,0),MATCH(CX$61,$M$61:$Z$61,0))/INDEX(고양시_재차인원!$D$4:$H$35,MATCH("고양시",고양시_재차인원!$B$4:$B$35,0),MATCH($CX$60,고양시_재차인원!$D$4:$H$4,0))</f>
        <v>678.80886885965117</v>
      </c>
      <c r="CY74" s="267">
        <f>INDEX($M$60:$Z$74,MATCH($CW74,$L$60:$L$74,0),MATCH(CY$61,$M$61:$Z$61,0))/INDEX(고양시_재차인원!$K$4:$O$20,MATCH("경기도",고양시_재차인원!$K$4:$K$20,0),MATCH($CY$61,고양시_재차인원!$K$4:$O$4,0))</f>
        <v>5.6149887043256512E-3</v>
      </c>
      <c r="CZ74" s="267">
        <f>INDEX($M$60:$Z$74,MATCH($CW74,$L$60:$L$74,0),MATCH(CZ$61,$M$61:$Z$61,0))/INDEX(고양시_재차인원!$K$4:$O$20,MATCH("경기도",고양시_재차인원!$K$4:$K$20,0),MATCH($CZ$61,고양시_재차인원!$K$4:$O$4,0))</f>
        <v>1.5609668598025308</v>
      </c>
      <c r="DA74" s="267">
        <f>INDEX($M$60:$Z$74,MATCH($CW74,$L$60:$L$74,0),MATCH(DA$61,$M$61:$Z$61,0))/INDEX(고양시_재차인원!$D$4:$H$35,MATCH("고양시",고양시_재차인원!$B$4:$B$35,0),MATCH($CX$60,고양시_재차인원!$D$4:$H$4,0))</f>
        <v>43.58925757933546</v>
      </c>
      <c r="DB74" s="267">
        <f>INDEX($AA$60:$AN$74,MATCH($CW74,$L$60:$L$74,0),MATCH(DB$61,$AA$61:$AN$61,0))/INDEX(고양시_재차인원!$D$4:$H$35,MATCH("고양시",고양시_재차인원!$B$4:$B$35,0),MATCH($DB$60,고양시_재차인원!$D$4:$H$4,0))</f>
        <v>4192.8576457773197</v>
      </c>
      <c r="DC74" s="267">
        <f>INDEX($AA$60:$AN$74,MATCH($CW74,$L$60:$L$74,0),MATCH(DC$61,$AA$61:$AN$61,0))/INDEX(고양시_재차인원!$K$4:$O$20,MATCH("경기도",고양시_재차인원!$K$4:$K$20,0),MATCH($DC$61,고양시_재차인원!$K$4:$O$4,0))</f>
        <v>4.3662900946629363E-2</v>
      </c>
      <c r="DD74" s="267">
        <f>INDEX($AA$60:$AN$74,MATCH($CW74,$L$60:$L$74,0),MATCH(DD$61,$AA$61:$AN$61,0))/INDEX(고양시_재차인원!$K$4:$O$20,MATCH("경기도",고양시_재차인원!$K$4:$K$20,0),MATCH($DD$61,고양시_재차인원!$K$4:$O$4,0))</f>
        <v>12.138286463162963</v>
      </c>
      <c r="DE74" s="267">
        <f>INDEX($AA$60:$AN$74,MATCH($CW74,$L$60:$L$74,0),MATCH(DE$61,$AA$61:$AN$61,0))/INDEX(고양시_재차인원!$D$4:$H$35,MATCH("고양시",고양시_재차인원!$B$4:$B$35,0),MATCH($DB$60,고양시_재차인원!$D$4:$H$4,0))</f>
        <v>269.24154986705304</v>
      </c>
      <c r="DF74" s="267">
        <f>INDEX($AO$60:$BB$74,MATCH($CW74,$L$60:$L$74,0),MATCH(DF$61,$AO$61:$BB$61,0))/INDEX(고양시_재차인원!$D$4:$H$35,MATCH("고양시",고양시_재차인원!$B$4:$B$35,0),MATCH($DF$60,고양시_재차인원!$D$4:$H$4,0))</f>
        <v>201.57565604925398</v>
      </c>
      <c r="DG74" s="267">
        <f>INDEX($AO$60:$BB$74,MATCH($CW74,$L$60:$L$74,0),MATCH(DG$61,$AO$61:$BB$61,0))/INDEX(고양시_재차인원!$K$4:$O$20,MATCH("경기도",고양시_재차인원!$K$4:$K$20,0),MATCH($DG$61,고양시_재차인원!$K$4:$O$4,0))</f>
        <v>1.9353735018414794E-3</v>
      </c>
      <c r="DH74" s="267">
        <f>INDEX($AO$60:$BB$74,MATCH($CW74,$L$60:$L$74,0),MATCH(DH$61,$AO$61:$BB$61,0))/INDEX(고양시_재차인원!$K$4:$O$20,MATCH("경기도",고양시_재차인원!$K$4:$K$20,0),MATCH($DH$61,고양시_재차인원!$K$4:$O$4,0))</f>
        <v>0.53803383351193124</v>
      </c>
      <c r="DI74" s="267">
        <f>INDEX($AO$60:$BB$74,MATCH($CW74,$L$60:$L$74,0),MATCH(DI$61,$AO$61:$BB$61,0))/INDEX(고양시_재차인원!$D$4:$H$35,MATCH("고양시",고양시_재차인원!$B$4:$B$35,0),MATCH($DF$60,고양시_재차인원!$D$4:$H$4,0))</f>
        <v>12.944045955108377</v>
      </c>
      <c r="DJ74" s="267">
        <f>INDEX($BC$60:$BP$74,MATCH($CW74,$L$60:$L$74,0),MATCH(DJ$61,$BC$61:$BP$61,0))/INDEX(고양시_재차인원!$D$4:$H$35,MATCH("고양시",고양시_재차인원!$B$4:$B$35,0),MATCH($DJ$60,고양시_재차인원!$D$4:$H$4,0))</f>
        <v>0.52252911837294269</v>
      </c>
      <c r="DK74" s="267">
        <f>INDEX($BC$60:$BP$74,MATCH($CW74,$L$60:$L$74,0),MATCH(DK$61,$BC$61:$BP$61,0))/INDEX(고양시_재차인원!$K$4:$O$20,MATCH("경기도",고양시_재차인원!$K$4:$K$20,0),MATCH($DK$61,고양시_재차인원!$K$4:$O$4,0))</f>
        <v>5.2484705134684311E-6</v>
      </c>
      <c r="DL74" s="267">
        <f>INDEX($BC$60:$BP$74,MATCH($CW74,$L$60:$L$74,0),MATCH(DL$61,$BC$61:$BP$61,0))/INDEX(고양시_재차인원!$K$4:$O$20,MATCH("경기도",고양시_재차인원!$K$4:$K$20,0),MATCH($DL$61,고양시_재차인원!$K$4:$O$4,0))</f>
        <v>1.4590748027442236E-3</v>
      </c>
      <c r="DM74" s="267">
        <f>INDEX($BC$60:$BP$74,MATCH($CW74,$L$60:$L$74,0),MATCH(DM$61,$BC$61:$BP$61,0))/INDEX(고양시_재차인원!$D$4:$H$35,MATCH("고양시",고양시_재차인원!$B$4:$B$35,0),MATCH($DJ$60,고양시_재차인원!$D$4:$H$4,0))</f>
        <v>3.3553857909553196E-2</v>
      </c>
      <c r="DN74" s="267">
        <f>INDEX($BQ$60:$CD$74,MATCH($CW74,$L$60:$L$74,0),MATCH(DN$61,$BQ$61:$CD$61,0))/INDEX(고양시_재차인원!$D$4:$H$35,MATCH("고양시",고양시_재차인원!$B$4:$B$35,0),MATCH($DN$60,고양시_재차인원!$D$4:$H$4,0))</f>
        <v>1.5979991027489935</v>
      </c>
      <c r="DO74" s="267">
        <f>INDEX($BQ$60:$CD$74,MATCH($CW74,$L$60:$L$74,0),MATCH(DO$61,$BQ$61:$CD$61,0))/INDEX(고양시_재차인원!$K$4:$O$20,MATCH("경기도",고양시_재차인원!$K$4:$K$20,0),MATCH($DO$61,고양시_재차인원!$K$4:$O$4,0))</f>
        <v>1.4870666454827169E-5</v>
      </c>
      <c r="DP74" s="267">
        <f>INDEX($BQ$60:$CD$74,MATCH($CW74,$L$60:$L$74,0),MATCH(DP$61,$BQ$61:$CD$61,0))/INDEX(고양시_재차인원!$K$4:$O$20,MATCH("경기도",고양시_재차인원!$K$4:$K$20,0),MATCH($DP$61,고양시_재차인원!$K$4:$O$4,0))</f>
        <v>4.1340452744419521E-3</v>
      </c>
      <c r="DQ74" s="267">
        <f>INDEX($BQ$60:$CD$74,MATCH($CW74,$L$60:$L$74,0),MATCH(DQ$61,$BQ$61:$CD$61,0))/INDEX(고양시_재차인원!$D$4:$H$35,MATCH("고양시",고양시_재차인원!$B$4:$B$35,0),MATCH($DN$60,고양시_재차인원!$D$4:$H$4,0))</f>
        <v>0.10261444376572317</v>
      </c>
      <c r="DR74" s="270">
        <f t="shared" si="33"/>
        <v>5075.3626989073464</v>
      </c>
      <c r="DS74" s="270">
        <f t="shared" si="26"/>
        <v>5.1233382289764796E-2</v>
      </c>
      <c r="DT74" s="270">
        <f t="shared" si="27"/>
        <v>14.242880276554612</v>
      </c>
      <c r="DU74" s="270">
        <f t="shared" si="28"/>
        <v>325.9110217031722</v>
      </c>
      <c r="DW74" s="278" t="s">
        <v>26</v>
      </c>
      <c r="DX74" s="278" t="s">
        <v>26</v>
      </c>
      <c r="DY74" s="281">
        <f t="shared" ref="DY74" si="46">DR74+DU74</f>
        <v>5401.2737206105185</v>
      </c>
      <c r="DZ74" s="281">
        <f t="shared" ref="DZ74" si="47">DS74+DT74</f>
        <v>14.294113658844376</v>
      </c>
      <c r="ED74" s="334">
        <f>SUM(ED62:ED72)-ED73</f>
        <v>0</v>
      </c>
      <c r="EE74" s="230" t="b">
        <f>SUM(EE62:EE72)=EE73</f>
        <v>1</v>
      </c>
      <c r="EK74" s="420" t="s">
        <v>169</v>
      </c>
      <c r="EL74" s="420" t="s">
        <v>169</v>
      </c>
      <c r="EM74" s="420" t="s">
        <v>575</v>
      </c>
      <c r="EN74" s="420">
        <v>5756.5210999999999</v>
      </c>
      <c r="EO74" s="420">
        <v>0.34334776653141269</v>
      </c>
      <c r="EP74" s="421">
        <v>849013</v>
      </c>
      <c r="EQ74" s="422">
        <f t="shared" si="37"/>
        <v>126.06793135213428</v>
      </c>
      <c r="ER74" s="422">
        <f t="shared" si="38"/>
        <v>0.33363044213191811</v>
      </c>
      <c r="ES74">
        <v>0</v>
      </c>
      <c r="EU74" s="306" t="s">
        <v>169</v>
      </c>
      <c r="EV74" s="306" t="s">
        <v>169</v>
      </c>
      <c r="EW74" s="306" t="s">
        <v>575</v>
      </c>
      <c r="EX74" s="306">
        <v>5756.5210999999999</v>
      </c>
      <c r="EY74" s="306">
        <v>0.34334776653141269</v>
      </c>
      <c r="EZ74" s="307">
        <v>849013</v>
      </c>
      <c r="FA74" s="308">
        <f t="shared" si="39"/>
        <v>126.06793135213428</v>
      </c>
      <c r="FB74" s="308">
        <f t="shared" si="30"/>
        <v>0.33363044213191811</v>
      </c>
      <c r="FD74" s="101"/>
      <c r="FE74" s="101"/>
      <c r="FF74" s="101"/>
      <c r="FG74" s="101"/>
      <c r="FH74" s="101"/>
      <c r="FI74" s="374"/>
      <c r="FJ74" s="404"/>
      <c r="FK74" s="404"/>
    </row>
    <row r="75" spans="1:167">
      <c r="C75" s="56">
        <f t="shared" ref="C75:F75" si="48">SUM(C62:C73)-C74</f>
        <v>0</v>
      </c>
      <c r="D75" s="56">
        <f t="shared" si="48"/>
        <v>0</v>
      </c>
      <c r="E75" s="56">
        <f t="shared" si="48"/>
        <v>0</v>
      </c>
      <c r="F75" s="56">
        <f t="shared" si="48"/>
        <v>0</v>
      </c>
      <c r="G75" s="56">
        <f>SUM(G62:G73)-G74</f>
        <v>0</v>
      </c>
      <c r="H75" s="56">
        <f t="shared" ref="H75" si="49">SUM(H62:H73)-H74</f>
        <v>0</v>
      </c>
      <c r="I75" s="56"/>
      <c r="J75" s="56"/>
      <c r="K75" s="56"/>
      <c r="L75" s="56"/>
      <c r="M75" s="56"/>
      <c r="P75" s="56"/>
      <c r="Q75" s="56"/>
      <c r="R75" s="56"/>
      <c r="S75" s="56"/>
      <c r="T75" s="301"/>
      <c r="U75" s="301"/>
      <c r="V75" s="302"/>
      <c r="W75" s="56"/>
      <c r="X75" s="56"/>
      <c r="EK75" s="420" t="s">
        <v>169</v>
      </c>
      <c r="EL75" s="420" t="s">
        <v>169</v>
      </c>
      <c r="EM75" s="420" t="s">
        <v>576</v>
      </c>
      <c r="EN75" s="420">
        <v>5584.9350000000004</v>
      </c>
      <c r="EO75" s="420">
        <v>0.33311351164388425</v>
      </c>
      <c r="EP75" s="421">
        <v>849014</v>
      </c>
      <c r="EQ75" s="422">
        <f t="shared" si="37"/>
        <v>122.31019220725727</v>
      </c>
      <c r="ER75" s="422">
        <f t="shared" si="38"/>
        <v>0.32368583402361267</v>
      </c>
      <c r="ES75">
        <v>0</v>
      </c>
      <c r="EU75" s="306" t="s">
        <v>169</v>
      </c>
      <c r="EV75" s="306" t="s">
        <v>169</v>
      </c>
      <c r="EW75" s="306" t="s">
        <v>576</v>
      </c>
      <c r="EX75" s="306">
        <v>5584.9350000000004</v>
      </c>
      <c r="EY75" s="306">
        <v>0.33311351164388425</v>
      </c>
      <c r="EZ75" s="307">
        <v>849014</v>
      </c>
      <c r="FA75" s="308">
        <f t="shared" si="39"/>
        <v>122.31019220725727</v>
      </c>
      <c r="FB75" s="308">
        <f t="shared" si="30"/>
        <v>0.32368583402361267</v>
      </c>
      <c r="FD75" s="101"/>
      <c r="FE75" s="101"/>
      <c r="FF75" s="101"/>
      <c r="FG75" s="101"/>
      <c r="FH75" s="101"/>
      <c r="FI75" s="374"/>
      <c r="FJ75" s="404"/>
      <c r="FK75" s="404"/>
    </row>
    <row r="76" spans="1:167">
      <c r="C76" s="56"/>
      <c r="D76" s="56"/>
      <c r="E76" s="56"/>
      <c r="F76" s="56"/>
      <c r="G76" s="56"/>
      <c r="H76" s="56"/>
      <c r="I76" s="56"/>
      <c r="J76" s="56"/>
      <c r="K76" s="56"/>
      <c r="L76" s="56"/>
      <c r="M76" s="56"/>
      <c r="P76" s="56"/>
      <c r="Q76" s="56"/>
      <c r="R76" s="56"/>
      <c r="S76" s="56"/>
      <c r="T76" s="301"/>
      <c r="U76" s="301"/>
      <c r="V76" s="302"/>
      <c r="W76" s="56"/>
      <c r="X76" s="56"/>
      <c r="EK76" s="420" t="s">
        <v>169</v>
      </c>
      <c r="EL76" s="420" t="s">
        <v>169</v>
      </c>
      <c r="EM76" s="420" t="s">
        <v>382</v>
      </c>
      <c r="EN76" s="420">
        <v>5424.4053999999996</v>
      </c>
      <c r="EO76" s="420">
        <v>0.32353872182470311</v>
      </c>
      <c r="EP76" s="421">
        <v>849015</v>
      </c>
      <c r="EQ76" s="422">
        <f t="shared" si="37"/>
        <v>118.79459064144598</v>
      </c>
      <c r="ER76" s="422">
        <f t="shared" si="38"/>
        <v>0.31438202700321272</v>
      </c>
      <c r="ES76">
        <v>0</v>
      </c>
      <c r="EU76" s="306" t="s">
        <v>169</v>
      </c>
      <c r="EV76" s="306" t="s">
        <v>169</v>
      </c>
      <c r="EW76" s="306" t="s">
        <v>382</v>
      </c>
      <c r="EX76" s="306">
        <v>5424.4053999999996</v>
      </c>
      <c r="EY76" s="306">
        <v>0.32353872182470311</v>
      </c>
      <c r="EZ76" s="307">
        <v>849015</v>
      </c>
      <c r="FA76" s="308">
        <f t="shared" si="39"/>
        <v>118.79459064144598</v>
      </c>
      <c r="FB76" s="308">
        <f t="shared" si="30"/>
        <v>0.31438202700321272</v>
      </c>
      <c r="FD76" s="101"/>
      <c r="FE76" s="101"/>
      <c r="FF76" s="101"/>
      <c r="FG76" s="101"/>
      <c r="FH76" s="101"/>
      <c r="FI76" s="374"/>
      <c r="FJ76" s="404"/>
      <c r="FK76" s="404"/>
    </row>
    <row r="77" spans="1:167">
      <c r="C77" s="56"/>
      <c r="D77" s="56"/>
      <c r="E77" s="56"/>
      <c r="F77" s="56"/>
      <c r="G77" s="56"/>
      <c r="H77" s="56"/>
      <c r="I77" s="56"/>
      <c r="J77" s="56"/>
      <c r="K77" s="56"/>
      <c r="L77" s="56"/>
      <c r="M77" s="56"/>
      <c r="P77" s="56"/>
      <c r="Q77" s="56"/>
      <c r="R77" s="56"/>
      <c r="S77" s="56"/>
      <c r="T77" s="301"/>
      <c r="U77" s="301"/>
      <c r="V77" s="302"/>
      <c r="W77" s="56"/>
      <c r="X77" s="56"/>
      <c r="EK77" s="420" t="s">
        <v>170</v>
      </c>
      <c r="EL77" s="420" t="s">
        <v>170</v>
      </c>
      <c r="EM77" s="420" t="s">
        <v>577</v>
      </c>
      <c r="EN77" s="420">
        <v>28051.338899999999</v>
      </c>
      <c r="EO77" s="420">
        <v>1</v>
      </c>
      <c r="EP77" s="421">
        <v>849016</v>
      </c>
      <c r="EQ77" s="422">
        <f t="shared" si="37"/>
        <v>303.67315737350691</v>
      </c>
      <c r="ER77" s="422">
        <f t="shared" si="38"/>
        <v>0.80365092590538045</v>
      </c>
      <c r="ES77">
        <v>0</v>
      </c>
      <c r="EU77" s="306" t="s">
        <v>170</v>
      </c>
      <c r="EV77" s="306" t="s">
        <v>170</v>
      </c>
      <c r="EW77" s="306" t="s">
        <v>577</v>
      </c>
      <c r="EX77" s="306">
        <v>28051.338899999999</v>
      </c>
      <c r="EY77" s="306">
        <v>1</v>
      </c>
      <c r="EZ77" s="307">
        <v>849016</v>
      </c>
      <c r="FA77" s="308">
        <f t="shared" si="39"/>
        <v>303.67315737350691</v>
      </c>
      <c r="FB77" s="308">
        <f t="shared" si="30"/>
        <v>0.80365092590538045</v>
      </c>
      <c r="FD77" s="101"/>
      <c r="FE77" s="101"/>
      <c r="FF77" s="101"/>
      <c r="FG77" s="101"/>
      <c r="FH77" s="101"/>
      <c r="FI77" s="374"/>
      <c r="FJ77" s="404"/>
      <c r="FK77" s="404"/>
    </row>
    <row r="78" spans="1:167">
      <c r="C78" s="56"/>
      <c r="D78" s="56"/>
      <c r="E78" s="56"/>
      <c r="F78" s="56"/>
      <c r="G78" s="56"/>
      <c r="H78" s="56"/>
      <c r="I78" s="56"/>
      <c r="J78" s="56"/>
      <c r="K78" s="56"/>
      <c r="L78" s="56"/>
      <c r="M78" s="56"/>
      <c r="P78" s="56"/>
      <c r="Q78" s="56"/>
      <c r="R78" s="56"/>
      <c r="S78" s="56"/>
      <c r="T78" s="301"/>
      <c r="U78" s="301"/>
      <c r="V78" s="302"/>
      <c r="W78" s="56"/>
      <c r="X78" s="56"/>
      <c r="EK78" s="420" t="s">
        <v>171</v>
      </c>
      <c r="EL78" s="420" t="s">
        <v>171</v>
      </c>
      <c r="EM78" s="420" t="s">
        <v>579</v>
      </c>
      <c r="EN78" s="420">
        <v>15650.840399999999</v>
      </c>
      <c r="EO78" s="420">
        <v>0.80490868986400721</v>
      </c>
      <c r="EP78" s="421">
        <v>849017</v>
      </c>
      <c r="EQ78" s="422">
        <f t="shared" si="37"/>
        <v>9.8169737485360358</v>
      </c>
      <c r="ER78" s="422">
        <f t="shared" si="38"/>
        <v>2.5979971726299469E-2</v>
      </c>
      <c r="ES78">
        <v>0</v>
      </c>
      <c r="EU78" s="306" t="s">
        <v>171</v>
      </c>
      <c r="EV78" s="306" t="s">
        <v>171</v>
      </c>
      <c r="EW78" s="306" t="s">
        <v>579</v>
      </c>
      <c r="EX78" s="306">
        <v>15650.840399999999</v>
      </c>
      <c r="EY78" s="306">
        <v>0.80490868986400721</v>
      </c>
      <c r="EZ78" s="307">
        <v>849017</v>
      </c>
      <c r="FA78" s="308">
        <f t="shared" si="39"/>
        <v>9.8169737485360358</v>
      </c>
      <c r="FB78" s="308">
        <f t="shared" si="30"/>
        <v>2.5979971726299469E-2</v>
      </c>
      <c r="FD78" s="101"/>
      <c r="FE78" s="101"/>
      <c r="FF78" s="101"/>
      <c r="FG78" s="101"/>
      <c r="FH78" s="101"/>
      <c r="FI78" s="374"/>
      <c r="FJ78" s="404"/>
      <c r="FK78" s="404"/>
    </row>
    <row r="79" spans="1:167">
      <c r="C79" s="56"/>
      <c r="D79" s="56"/>
      <c r="E79" s="56"/>
      <c r="F79" s="56"/>
      <c r="G79" s="56"/>
      <c r="H79" s="56"/>
      <c r="I79" s="56"/>
      <c r="J79" s="56"/>
      <c r="K79" s="56"/>
      <c r="L79" s="56"/>
      <c r="M79" s="56"/>
      <c r="P79" s="56"/>
      <c r="Q79" s="56"/>
      <c r="R79" s="56"/>
      <c r="S79" s="56"/>
      <c r="T79" s="301"/>
      <c r="U79" s="301"/>
      <c r="V79" s="302"/>
      <c r="W79" s="56"/>
      <c r="X79" s="56"/>
      <c r="EK79" s="420" t="s">
        <v>171</v>
      </c>
      <c r="EL79" s="420" t="s">
        <v>171</v>
      </c>
      <c r="EM79" s="420" t="s">
        <v>580</v>
      </c>
      <c r="EN79" s="420">
        <v>3793.4029</v>
      </c>
      <c r="EO79" s="420">
        <v>0.19509131013599282</v>
      </c>
      <c r="EP79" s="421">
        <v>849018</v>
      </c>
      <c r="EQ79" s="422">
        <f t="shared" si="37"/>
        <v>2.3794081170823564</v>
      </c>
      <c r="ER79" s="422">
        <f t="shared" si="38"/>
        <v>6.2969462067009787E-3</v>
      </c>
      <c r="ES79">
        <v>0</v>
      </c>
      <c r="EU79" s="306" t="s">
        <v>171</v>
      </c>
      <c r="EV79" s="306" t="s">
        <v>171</v>
      </c>
      <c r="EW79" s="306" t="s">
        <v>580</v>
      </c>
      <c r="EX79" s="306">
        <v>3793.4029</v>
      </c>
      <c r="EY79" s="306">
        <v>0.19509131013599282</v>
      </c>
      <c r="EZ79" s="307">
        <v>849018</v>
      </c>
      <c r="FA79" s="308">
        <f t="shared" si="39"/>
        <v>2.3794081170823564</v>
      </c>
      <c r="FB79" s="308">
        <f t="shared" si="30"/>
        <v>6.2969462067009787E-3</v>
      </c>
      <c r="FD79" s="101"/>
      <c r="FE79" s="101"/>
      <c r="FF79" s="101"/>
      <c r="FG79" s="101"/>
      <c r="FH79" s="101"/>
      <c r="FI79" s="374"/>
      <c r="FJ79" s="404"/>
      <c r="FK79" s="404"/>
    </row>
    <row r="80" spans="1:167">
      <c r="C80" s="56"/>
      <c r="D80" s="56"/>
      <c r="E80" s="56"/>
      <c r="F80" s="56"/>
      <c r="G80" s="56"/>
      <c r="H80" s="56"/>
      <c r="I80" s="56"/>
      <c r="J80" s="56"/>
      <c r="K80" s="56"/>
      <c r="L80" s="56"/>
      <c r="M80" s="56"/>
      <c r="P80" s="56"/>
      <c r="Q80" s="56"/>
      <c r="R80" s="56"/>
      <c r="S80" s="56"/>
      <c r="T80" s="301"/>
      <c r="U80" s="301"/>
      <c r="V80" s="302"/>
      <c r="W80" s="56"/>
      <c r="X80" s="56"/>
      <c r="EK80" s="420" t="s">
        <v>13</v>
      </c>
      <c r="EL80" s="420" t="s">
        <v>13</v>
      </c>
      <c r="EM80" s="420" t="s">
        <v>582</v>
      </c>
      <c r="EN80" s="420">
        <v>2617.3850000000002</v>
      </c>
      <c r="EO80" s="420">
        <v>0.44699524620375919</v>
      </c>
      <c r="EP80" s="421">
        <v>849019</v>
      </c>
      <c r="EQ80" s="422">
        <f t="shared" si="37"/>
        <v>42.746477877543612</v>
      </c>
      <c r="ER80" s="422">
        <f t="shared" si="38"/>
        <v>0.11312572643102778</v>
      </c>
      <c r="ES80">
        <v>0</v>
      </c>
      <c r="EU80" s="306" t="s">
        <v>13</v>
      </c>
      <c r="EV80" s="306" t="s">
        <v>13</v>
      </c>
      <c r="EW80" s="306" t="s">
        <v>582</v>
      </c>
      <c r="EX80" s="306">
        <v>2617.3850000000002</v>
      </c>
      <c r="EY80" s="306">
        <v>0.44699524620375919</v>
      </c>
      <c r="EZ80" s="307">
        <v>849019</v>
      </c>
      <c r="FA80" s="308">
        <f t="shared" si="39"/>
        <v>42.746477877543612</v>
      </c>
      <c r="FB80" s="308">
        <f t="shared" si="30"/>
        <v>0.11312572643102778</v>
      </c>
      <c r="FD80" s="101"/>
      <c r="FE80" s="101"/>
      <c r="FF80" s="101"/>
      <c r="FG80" s="101"/>
      <c r="FH80" s="101"/>
      <c r="FI80" s="374"/>
      <c r="FJ80" s="404"/>
      <c r="FK80" s="404"/>
    </row>
    <row r="81" spans="1:167">
      <c r="C81" s="56"/>
      <c r="D81" s="56"/>
      <c r="E81" s="56"/>
      <c r="F81" s="56"/>
      <c r="G81" s="56"/>
      <c r="H81" s="56"/>
      <c r="I81" s="56"/>
      <c r="J81" s="56"/>
      <c r="K81" s="56"/>
      <c r="L81" s="56"/>
      <c r="M81" s="56"/>
      <c r="P81" s="56"/>
      <c r="Q81" s="56"/>
      <c r="R81" s="56"/>
      <c r="S81" s="56"/>
      <c r="T81" s="301"/>
      <c r="U81" s="301"/>
      <c r="V81" s="302"/>
      <c r="W81" s="56"/>
      <c r="X81" s="56"/>
      <c r="EK81" s="420" t="s">
        <v>13</v>
      </c>
      <c r="EL81" s="420" t="s">
        <v>13</v>
      </c>
      <c r="EM81" s="420" t="s">
        <v>583</v>
      </c>
      <c r="EN81" s="420">
        <v>3238.1246999999998</v>
      </c>
      <c r="EO81" s="420">
        <v>0.5530047537962407</v>
      </c>
      <c r="EP81" s="421">
        <v>849020</v>
      </c>
      <c r="EQ81" s="422">
        <f t="shared" si="37"/>
        <v>52.884243568782395</v>
      </c>
      <c r="ER81" s="422">
        <f t="shared" si="38"/>
        <v>0.13995465281636207</v>
      </c>
      <c r="ES81">
        <v>0</v>
      </c>
      <c r="EU81" s="306" t="s">
        <v>13</v>
      </c>
      <c r="EV81" s="306" t="s">
        <v>13</v>
      </c>
      <c r="EW81" s="306" t="s">
        <v>583</v>
      </c>
      <c r="EX81" s="306">
        <v>3238.1246999999998</v>
      </c>
      <c r="EY81" s="306">
        <v>0.5530047537962407</v>
      </c>
      <c r="EZ81" s="307">
        <v>849020</v>
      </c>
      <c r="FA81" s="308">
        <f t="shared" si="39"/>
        <v>52.884243568782395</v>
      </c>
      <c r="FB81" s="308">
        <f t="shared" si="30"/>
        <v>0.13995465281636207</v>
      </c>
      <c r="FD81" s="101"/>
      <c r="FE81" s="101"/>
      <c r="FF81" s="101"/>
      <c r="FG81" s="101"/>
      <c r="FH81" s="101"/>
      <c r="FI81" s="374"/>
      <c r="FJ81" s="404"/>
      <c r="FK81" s="404"/>
    </row>
    <row r="82" spans="1:167">
      <c r="C82" s="56"/>
      <c r="D82" s="56"/>
      <c r="E82" s="56"/>
      <c r="F82" s="56"/>
      <c r="G82" s="56"/>
      <c r="H82" s="56"/>
      <c r="I82" s="56"/>
      <c r="J82" s="56"/>
      <c r="K82" s="56"/>
      <c r="L82" s="56"/>
      <c r="M82" s="56"/>
      <c r="P82" s="56"/>
      <c r="Q82" s="56"/>
      <c r="R82" s="56"/>
      <c r="S82" s="56"/>
      <c r="T82" s="301"/>
      <c r="U82" s="301"/>
      <c r="V82" s="302"/>
      <c r="W82" s="56"/>
      <c r="X82" s="56"/>
      <c r="EQ82" s="310">
        <f>SUM(EQ62:EQ81)</f>
        <v>5247.3374195731194</v>
      </c>
      <c r="ER82" s="310">
        <f>SUM(ER62:ER81)</f>
        <v>13.88673141956731</v>
      </c>
      <c r="FA82" s="310"/>
      <c r="FB82" s="310"/>
      <c r="FJ82" s="310"/>
      <c r="FK82" s="310"/>
    </row>
    <row r="83" spans="1:167">
      <c r="C83" s="56"/>
      <c r="D83" s="56"/>
      <c r="E83" s="56"/>
      <c r="F83" s="56"/>
      <c r="G83" s="56"/>
      <c r="H83" s="56"/>
      <c r="I83" s="56"/>
      <c r="J83" s="56"/>
      <c r="K83" s="56"/>
      <c r="L83" s="56"/>
      <c r="M83" s="56"/>
      <c r="P83" s="56"/>
      <c r="Q83" s="56"/>
      <c r="R83" s="56"/>
      <c r="S83" s="56"/>
      <c r="T83" s="301"/>
      <c r="U83" s="301"/>
      <c r="V83" s="302"/>
      <c r="W83" s="56"/>
      <c r="X83" s="56"/>
    </row>
    <row r="84" spans="1:167" ht="25.5">
      <c r="A84" s="285">
        <v>2025</v>
      </c>
      <c r="B84" s="282"/>
      <c r="C84" s="283"/>
      <c r="D84" s="284"/>
      <c r="E84" s="284"/>
      <c r="F84" s="284"/>
      <c r="G84" s="284"/>
      <c r="H84" s="284"/>
      <c r="I84" s="284"/>
      <c r="J84" s="227"/>
      <c r="K84" s="282"/>
      <c r="L84" s="282"/>
      <c r="M84" s="283"/>
      <c r="N84" s="284"/>
      <c r="O84" s="284"/>
      <c r="P84" s="284"/>
      <c r="Q84" s="284"/>
      <c r="R84" s="284"/>
      <c r="S84" s="284"/>
      <c r="T84" s="227"/>
      <c r="U84" s="227"/>
      <c r="V84" s="227"/>
      <c r="W84" s="227"/>
      <c r="X84" s="227"/>
      <c r="Y84" s="227"/>
      <c r="Z84" s="227"/>
      <c r="AA84" s="227"/>
      <c r="AB84" s="227"/>
      <c r="AC84" s="227"/>
      <c r="AD84" s="227"/>
      <c r="AE84" s="227"/>
      <c r="AF84" s="227"/>
      <c r="AG84" s="227"/>
      <c r="AH84" s="227"/>
      <c r="AI84" s="227"/>
      <c r="AJ84" s="227"/>
      <c r="AK84" s="227"/>
      <c r="AL84" s="227"/>
      <c r="AM84" s="227"/>
      <c r="AN84" s="227"/>
      <c r="AO84" s="227"/>
      <c r="AP84" s="227"/>
      <c r="AQ84" s="227"/>
      <c r="AR84" s="227"/>
      <c r="AS84" s="227"/>
      <c r="AT84" s="227"/>
      <c r="AU84" s="227"/>
      <c r="AV84" s="227"/>
      <c r="AW84" s="227"/>
      <c r="AX84" s="227"/>
      <c r="AY84" s="227"/>
      <c r="AZ84" s="227"/>
      <c r="BA84" s="227"/>
      <c r="BB84" s="227"/>
      <c r="BC84" s="227"/>
      <c r="BD84" s="227"/>
      <c r="BE84" s="227"/>
      <c r="BF84" s="227"/>
      <c r="BG84" s="227"/>
      <c r="BH84" s="227"/>
      <c r="BI84" s="227"/>
      <c r="BJ84" s="227"/>
      <c r="BK84" s="227"/>
      <c r="BL84" s="227"/>
      <c r="BM84" s="227"/>
      <c r="BN84" s="227"/>
      <c r="BO84" s="227"/>
      <c r="BP84" s="227"/>
      <c r="BQ84" s="227"/>
      <c r="BR84" s="227"/>
      <c r="BS84" s="227"/>
      <c r="BT84" s="227"/>
      <c r="BU84" s="227"/>
      <c r="BV84" s="227"/>
      <c r="BW84" s="227"/>
      <c r="BX84" s="227"/>
      <c r="BY84" s="227"/>
      <c r="BZ84" s="227"/>
      <c r="CA84" s="227"/>
      <c r="CB84" s="227"/>
      <c r="CC84" s="227"/>
      <c r="CD84" s="227"/>
      <c r="CE84" s="227"/>
      <c r="CF84" s="227"/>
      <c r="CG84" s="227"/>
      <c r="CH84" s="227"/>
      <c r="CI84" s="227"/>
      <c r="CJ84" s="227"/>
      <c r="CK84" s="227"/>
      <c r="CL84" s="227"/>
      <c r="CM84" s="227"/>
      <c r="CN84" s="227"/>
      <c r="CO84" s="227"/>
      <c r="CP84" s="227"/>
      <c r="CQ84" s="227"/>
      <c r="CR84" s="227"/>
      <c r="CS84" s="227"/>
      <c r="CT84" s="227"/>
      <c r="CU84" s="227"/>
      <c r="CV84" s="227"/>
      <c r="CW84" s="227"/>
      <c r="CX84" s="227"/>
      <c r="CY84" s="227"/>
      <c r="CZ84" s="227"/>
      <c r="DA84" s="227"/>
      <c r="DB84" s="227"/>
      <c r="DC84" s="227"/>
      <c r="DD84" s="227"/>
      <c r="DE84" s="227"/>
      <c r="DF84" s="227"/>
      <c r="DG84" s="227"/>
      <c r="DH84" s="227"/>
      <c r="DI84" s="227"/>
      <c r="DJ84" s="227"/>
      <c r="DK84" s="227"/>
      <c r="DL84" s="227"/>
      <c r="DM84" s="227"/>
      <c r="DN84" s="227"/>
      <c r="DO84" s="227"/>
      <c r="DP84" s="227"/>
      <c r="DQ84" s="227"/>
      <c r="DR84" s="227"/>
      <c r="DS84" s="227"/>
      <c r="DT84" s="227"/>
      <c r="DU84" s="227"/>
      <c r="DV84" s="227"/>
      <c r="DW84" s="227"/>
      <c r="DX84" s="227"/>
      <c r="DY84" s="227"/>
      <c r="DZ84" s="227"/>
      <c r="EA84" s="227"/>
      <c r="EB84" s="227"/>
      <c r="EC84" s="227"/>
      <c r="ED84" s="227"/>
      <c r="EE84" s="227"/>
      <c r="EF84" s="227"/>
      <c r="EG84" s="227"/>
      <c r="EH84" s="227"/>
      <c r="EI84" s="227"/>
      <c r="EJ84" s="227"/>
      <c r="EK84" s="227"/>
      <c r="EL84" s="227"/>
      <c r="EM84" s="227"/>
      <c r="EN84" s="227"/>
      <c r="EO84" s="227"/>
      <c r="EP84" s="227"/>
      <c r="EQ84" s="227"/>
      <c r="ER84" s="227"/>
      <c r="ES84" s="227"/>
      <c r="EU84" s="227"/>
      <c r="EV84" s="227"/>
      <c r="EW84" s="227"/>
      <c r="EX84" s="227"/>
      <c r="EY84" s="227"/>
      <c r="EZ84" s="227"/>
      <c r="FA84" s="227"/>
      <c r="FB84" s="227"/>
    </row>
    <row r="85" spans="1:167" ht="23.5" thickBot="1">
      <c r="A85" s="32" t="s">
        <v>641</v>
      </c>
      <c r="C85" t="s">
        <v>463</v>
      </c>
      <c r="D85" t="s">
        <v>467</v>
      </c>
      <c r="E85" t="s">
        <v>624</v>
      </c>
      <c r="F85" t="s">
        <v>465</v>
      </c>
      <c r="G85" t="s">
        <v>466</v>
      </c>
      <c r="H85" t="s">
        <v>21</v>
      </c>
      <c r="K85" s="32" t="s">
        <v>625</v>
      </c>
      <c r="CV85" s="32" t="s">
        <v>626</v>
      </c>
      <c r="CY85" t="s">
        <v>478</v>
      </c>
      <c r="CZ85" t="s">
        <v>479</v>
      </c>
      <c r="EK85" s="353" t="s">
        <v>860</v>
      </c>
      <c r="FD85" s="353"/>
    </row>
    <row r="86" spans="1:167">
      <c r="A86" t="s">
        <v>627</v>
      </c>
      <c r="C86" t="s">
        <v>427</v>
      </c>
      <c r="D86" t="s">
        <v>428</v>
      </c>
      <c r="E86" t="s">
        <v>429</v>
      </c>
      <c r="F86" t="s">
        <v>430</v>
      </c>
      <c r="G86" t="s">
        <v>431</v>
      </c>
      <c r="H86" t="s">
        <v>457</v>
      </c>
      <c r="K86" s="159" t="s">
        <v>482</v>
      </c>
      <c r="L86" s="159"/>
      <c r="M86" s="538" t="s">
        <v>463</v>
      </c>
      <c r="N86" s="539"/>
      <c r="O86" s="539"/>
      <c r="P86" s="539"/>
      <c r="Q86" s="539"/>
      <c r="R86" s="539"/>
      <c r="S86" s="539"/>
      <c r="T86" s="539"/>
      <c r="U86" s="539"/>
      <c r="V86" s="539"/>
      <c r="W86" s="539"/>
      <c r="X86" s="539"/>
      <c r="Y86" s="539"/>
      <c r="Z86" s="540"/>
      <c r="AA86" s="538" t="s">
        <v>467</v>
      </c>
      <c r="AB86" s="539"/>
      <c r="AC86" s="539"/>
      <c r="AD86" s="539"/>
      <c r="AE86" s="539"/>
      <c r="AF86" s="539"/>
      <c r="AG86" s="539"/>
      <c r="AH86" s="539"/>
      <c r="AI86" s="539"/>
      <c r="AJ86" s="539"/>
      <c r="AK86" s="539"/>
      <c r="AL86" s="539"/>
      <c r="AM86" s="539"/>
      <c r="AN86" s="540"/>
      <c r="AO86" s="538" t="s">
        <v>464</v>
      </c>
      <c r="AP86" s="539"/>
      <c r="AQ86" s="539"/>
      <c r="AR86" s="539"/>
      <c r="AS86" s="539"/>
      <c r="AT86" s="539"/>
      <c r="AU86" s="539"/>
      <c r="AV86" s="539"/>
      <c r="AW86" s="539"/>
      <c r="AX86" s="539"/>
      <c r="AY86" s="539"/>
      <c r="AZ86" s="539"/>
      <c r="BA86" s="539"/>
      <c r="BB86" s="540"/>
      <c r="BC86" s="538" t="s">
        <v>465</v>
      </c>
      <c r="BD86" s="539"/>
      <c r="BE86" s="539"/>
      <c r="BF86" s="539"/>
      <c r="BG86" s="539"/>
      <c r="BH86" s="539"/>
      <c r="BI86" s="539"/>
      <c r="BJ86" s="539"/>
      <c r="BK86" s="539"/>
      <c r="BL86" s="539"/>
      <c r="BM86" s="539"/>
      <c r="BN86" s="539"/>
      <c r="BO86" s="539"/>
      <c r="BP86" s="540"/>
      <c r="BQ86" s="538" t="s">
        <v>466</v>
      </c>
      <c r="BR86" s="539"/>
      <c r="BS86" s="539"/>
      <c r="BT86" s="539"/>
      <c r="BU86" s="539"/>
      <c r="BV86" s="539"/>
      <c r="BW86" s="539"/>
      <c r="BX86" s="539"/>
      <c r="BY86" s="539"/>
      <c r="BZ86" s="539"/>
      <c r="CA86" s="539"/>
      <c r="CB86" s="539"/>
      <c r="CC86" s="539"/>
      <c r="CD86" s="540"/>
      <c r="CE86" s="538" t="s">
        <v>21</v>
      </c>
      <c r="CF86" s="539"/>
      <c r="CG86" s="539"/>
      <c r="CH86" s="539"/>
      <c r="CI86" s="539"/>
      <c r="CJ86" s="539"/>
      <c r="CK86" s="539"/>
      <c r="CL86" s="539"/>
      <c r="CM86" s="539"/>
      <c r="CN86" s="539"/>
      <c r="CO86" s="539"/>
      <c r="CP86" s="539"/>
      <c r="CQ86" s="539"/>
      <c r="CR86" s="540"/>
      <c r="CV86" s="263" t="s">
        <v>628</v>
      </c>
      <c r="CW86" s="263"/>
      <c r="CX86" s="541" t="s">
        <v>629</v>
      </c>
      <c r="CY86" s="541"/>
      <c r="CZ86" s="541"/>
      <c r="DA86" s="541"/>
      <c r="DB86" s="542" t="s">
        <v>630</v>
      </c>
      <c r="DC86" s="541"/>
      <c r="DD86" s="541"/>
      <c r="DE86" s="541"/>
      <c r="DF86" s="542" t="s">
        <v>464</v>
      </c>
      <c r="DG86" s="541"/>
      <c r="DH86" s="541"/>
      <c r="DI86" s="541"/>
      <c r="DJ86" s="542" t="s">
        <v>465</v>
      </c>
      <c r="DK86" s="541"/>
      <c r="DL86" s="541"/>
      <c r="DM86" s="541"/>
      <c r="DN86" s="542" t="s">
        <v>466</v>
      </c>
      <c r="DO86" s="541"/>
      <c r="DP86" s="541"/>
      <c r="DQ86" s="541"/>
      <c r="DR86" s="542" t="s">
        <v>21</v>
      </c>
      <c r="DS86" s="541"/>
      <c r="DT86" s="541"/>
      <c r="DU86" s="541"/>
      <c r="DW86" s="278"/>
      <c r="DX86" s="278"/>
      <c r="DY86" s="442" t="s">
        <v>588</v>
      </c>
      <c r="DZ86" s="442"/>
      <c r="EB86" s="278"/>
      <c r="EC86" s="278"/>
      <c r="ED86" s="442" t="s">
        <v>631</v>
      </c>
      <c r="EE86" s="442"/>
      <c r="EI86" t="s">
        <v>632</v>
      </c>
    </row>
    <row r="87" spans="1:167">
      <c r="A87" s="199"/>
      <c r="B87" s="199"/>
      <c r="C87" s="202" t="s">
        <v>463</v>
      </c>
      <c r="D87" s="202" t="s">
        <v>467</v>
      </c>
      <c r="E87" s="202" t="s">
        <v>464</v>
      </c>
      <c r="F87" s="202" t="s">
        <v>465</v>
      </c>
      <c r="G87" s="202" t="s">
        <v>466</v>
      </c>
      <c r="H87" s="202" t="s">
        <v>21</v>
      </c>
      <c r="K87" s="159"/>
      <c r="L87" s="159"/>
      <c r="M87" s="211" t="s">
        <v>472</v>
      </c>
      <c r="N87" s="160" t="s">
        <v>156</v>
      </c>
      <c r="O87" s="160" t="s">
        <v>475</v>
      </c>
      <c r="P87" s="160" t="s">
        <v>476</v>
      </c>
      <c r="Q87" s="160" t="s">
        <v>477</v>
      </c>
      <c r="R87" s="160" t="s">
        <v>478</v>
      </c>
      <c r="S87" s="160" t="s">
        <v>479</v>
      </c>
      <c r="T87" s="160" t="s">
        <v>480</v>
      </c>
      <c r="U87" s="160" t="s">
        <v>449</v>
      </c>
      <c r="V87" s="160" t="s">
        <v>157</v>
      </c>
      <c r="W87" s="160" t="s">
        <v>473</v>
      </c>
      <c r="X87" s="160" t="s">
        <v>474</v>
      </c>
      <c r="Y87" s="160" t="s">
        <v>46</v>
      </c>
      <c r="Z87" s="212" t="s">
        <v>11</v>
      </c>
      <c r="AA87" s="211" t="s">
        <v>472</v>
      </c>
      <c r="AB87" s="160" t="s">
        <v>156</v>
      </c>
      <c r="AC87" s="160" t="s">
        <v>475</v>
      </c>
      <c r="AD87" s="160" t="s">
        <v>476</v>
      </c>
      <c r="AE87" s="160" t="s">
        <v>477</v>
      </c>
      <c r="AF87" s="160" t="s">
        <v>478</v>
      </c>
      <c r="AG87" s="160" t="s">
        <v>479</v>
      </c>
      <c r="AH87" s="160" t="s">
        <v>480</v>
      </c>
      <c r="AI87" s="160" t="s">
        <v>449</v>
      </c>
      <c r="AJ87" s="160" t="s">
        <v>157</v>
      </c>
      <c r="AK87" s="160" t="s">
        <v>473</v>
      </c>
      <c r="AL87" s="160" t="s">
        <v>474</v>
      </c>
      <c r="AM87" s="160" t="s">
        <v>46</v>
      </c>
      <c r="AN87" s="212" t="s">
        <v>11</v>
      </c>
      <c r="AO87" s="211" t="s">
        <v>472</v>
      </c>
      <c r="AP87" s="160" t="s">
        <v>156</v>
      </c>
      <c r="AQ87" s="160" t="s">
        <v>475</v>
      </c>
      <c r="AR87" s="160" t="s">
        <v>476</v>
      </c>
      <c r="AS87" s="160" t="s">
        <v>477</v>
      </c>
      <c r="AT87" s="160" t="s">
        <v>478</v>
      </c>
      <c r="AU87" s="160" t="s">
        <v>479</v>
      </c>
      <c r="AV87" s="160" t="s">
        <v>480</v>
      </c>
      <c r="AW87" s="160" t="s">
        <v>449</v>
      </c>
      <c r="AX87" s="160" t="s">
        <v>157</v>
      </c>
      <c r="AY87" s="160" t="s">
        <v>473</v>
      </c>
      <c r="AZ87" s="160" t="s">
        <v>474</v>
      </c>
      <c r="BA87" s="160" t="s">
        <v>46</v>
      </c>
      <c r="BB87" s="212" t="s">
        <v>11</v>
      </c>
      <c r="BC87" s="211" t="s">
        <v>472</v>
      </c>
      <c r="BD87" s="160" t="s">
        <v>156</v>
      </c>
      <c r="BE87" s="160" t="s">
        <v>475</v>
      </c>
      <c r="BF87" s="160" t="s">
        <v>476</v>
      </c>
      <c r="BG87" s="160" t="s">
        <v>477</v>
      </c>
      <c r="BH87" s="160" t="s">
        <v>478</v>
      </c>
      <c r="BI87" s="160" t="s">
        <v>479</v>
      </c>
      <c r="BJ87" s="160" t="s">
        <v>480</v>
      </c>
      <c r="BK87" s="160" t="s">
        <v>449</v>
      </c>
      <c r="BL87" s="160" t="s">
        <v>157</v>
      </c>
      <c r="BM87" s="160" t="s">
        <v>473</v>
      </c>
      <c r="BN87" s="160" t="s">
        <v>474</v>
      </c>
      <c r="BO87" s="160" t="s">
        <v>46</v>
      </c>
      <c r="BP87" s="212" t="s">
        <v>11</v>
      </c>
      <c r="BQ87" s="211" t="s">
        <v>472</v>
      </c>
      <c r="BR87" s="160" t="s">
        <v>156</v>
      </c>
      <c r="BS87" s="160" t="s">
        <v>475</v>
      </c>
      <c r="BT87" s="160" t="s">
        <v>476</v>
      </c>
      <c r="BU87" s="160" t="s">
        <v>477</v>
      </c>
      <c r="BV87" s="160" t="s">
        <v>478</v>
      </c>
      <c r="BW87" s="160" t="s">
        <v>479</v>
      </c>
      <c r="BX87" s="160" t="s">
        <v>480</v>
      </c>
      <c r="BY87" s="160" t="s">
        <v>449</v>
      </c>
      <c r="BZ87" s="160" t="s">
        <v>157</v>
      </c>
      <c r="CA87" s="160" t="s">
        <v>473</v>
      </c>
      <c r="CB87" s="160" t="s">
        <v>474</v>
      </c>
      <c r="CC87" s="160" t="s">
        <v>46</v>
      </c>
      <c r="CD87" s="212" t="s">
        <v>11</v>
      </c>
      <c r="CE87" s="211" t="s">
        <v>472</v>
      </c>
      <c r="CF87" s="160" t="s">
        <v>156</v>
      </c>
      <c r="CG87" s="160" t="s">
        <v>475</v>
      </c>
      <c r="CH87" s="160" t="s">
        <v>476</v>
      </c>
      <c r="CI87" s="160" t="s">
        <v>477</v>
      </c>
      <c r="CJ87" s="160" t="s">
        <v>478</v>
      </c>
      <c r="CK87" s="160" t="s">
        <v>479</v>
      </c>
      <c r="CL87" s="160" t="s">
        <v>480</v>
      </c>
      <c r="CM87" s="160" t="s">
        <v>449</v>
      </c>
      <c r="CN87" s="160" t="s">
        <v>157</v>
      </c>
      <c r="CO87" s="160" t="s">
        <v>473</v>
      </c>
      <c r="CP87" s="160" t="s">
        <v>474</v>
      </c>
      <c r="CQ87" s="160" t="s">
        <v>46</v>
      </c>
      <c r="CR87" s="212" t="s">
        <v>11</v>
      </c>
      <c r="CV87" s="263"/>
      <c r="CW87" s="263"/>
      <c r="CX87" s="264" t="s">
        <v>156</v>
      </c>
      <c r="CY87" s="264" t="s">
        <v>478</v>
      </c>
      <c r="CZ87" s="264" t="s">
        <v>479</v>
      </c>
      <c r="DA87" s="264" t="s">
        <v>157</v>
      </c>
      <c r="DB87" s="264" t="s">
        <v>156</v>
      </c>
      <c r="DC87" s="264" t="s">
        <v>478</v>
      </c>
      <c r="DD87" s="264" t="s">
        <v>479</v>
      </c>
      <c r="DE87" s="264" t="s">
        <v>157</v>
      </c>
      <c r="DF87" s="264" t="s">
        <v>156</v>
      </c>
      <c r="DG87" s="264" t="s">
        <v>478</v>
      </c>
      <c r="DH87" s="264" t="s">
        <v>479</v>
      </c>
      <c r="DI87" s="264" t="s">
        <v>157</v>
      </c>
      <c r="DJ87" s="264" t="s">
        <v>156</v>
      </c>
      <c r="DK87" s="264" t="s">
        <v>478</v>
      </c>
      <c r="DL87" s="264" t="s">
        <v>479</v>
      </c>
      <c r="DM87" s="264" t="s">
        <v>157</v>
      </c>
      <c r="DN87" s="264" t="s">
        <v>156</v>
      </c>
      <c r="DO87" s="264" t="s">
        <v>478</v>
      </c>
      <c r="DP87" s="264" t="s">
        <v>479</v>
      </c>
      <c r="DQ87" s="264" t="s">
        <v>157</v>
      </c>
      <c r="DR87" s="264" t="s">
        <v>156</v>
      </c>
      <c r="DS87" s="264" t="s">
        <v>478</v>
      </c>
      <c r="DT87" s="264" t="s">
        <v>479</v>
      </c>
      <c r="DU87" s="264" t="s">
        <v>157</v>
      </c>
      <c r="DW87" s="278"/>
      <c r="DX87" s="278"/>
      <c r="DY87" s="280" t="s">
        <v>585</v>
      </c>
      <c r="DZ87" s="280" t="s">
        <v>633</v>
      </c>
      <c r="EB87" s="278"/>
      <c r="EC87" s="278"/>
      <c r="ED87" s="280" t="s">
        <v>634</v>
      </c>
      <c r="EE87" s="280" t="s">
        <v>633</v>
      </c>
      <c r="EK87" s="420" t="s">
        <v>564</v>
      </c>
      <c r="EL87" s="420"/>
      <c r="EM87" s="420" t="s">
        <v>565</v>
      </c>
      <c r="EN87" s="420" t="s">
        <v>566</v>
      </c>
      <c r="EO87" s="420" t="s">
        <v>562</v>
      </c>
      <c r="EP87" s="421" t="s">
        <v>635</v>
      </c>
      <c r="EQ87" s="421" t="s">
        <v>634</v>
      </c>
      <c r="ER87" s="421" t="s">
        <v>633</v>
      </c>
      <c r="ES87" s="424" t="s">
        <v>866</v>
      </c>
      <c r="EU87" s="306" t="s">
        <v>564</v>
      </c>
      <c r="EV87" s="306"/>
      <c r="EW87" s="306" t="s">
        <v>565</v>
      </c>
      <c r="EX87" s="306" t="s">
        <v>566</v>
      </c>
      <c r="EY87" s="306" t="s">
        <v>562</v>
      </c>
      <c r="EZ87" s="307" t="s">
        <v>597</v>
      </c>
      <c r="FA87" s="307" t="s">
        <v>585</v>
      </c>
      <c r="FB87" s="307" t="s">
        <v>259</v>
      </c>
      <c r="FD87" s="101"/>
      <c r="FE87" s="101"/>
      <c r="FF87" s="101"/>
      <c r="FG87" s="101"/>
      <c r="FH87" s="101"/>
      <c r="FI87" s="374"/>
      <c r="FJ87" s="374"/>
      <c r="FK87" s="374"/>
    </row>
    <row r="88" spans="1:167">
      <c r="A88" s="205" t="s">
        <v>605</v>
      </c>
      <c r="B88" s="205" t="s">
        <v>606</v>
      </c>
      <c r="C88" s="201">
        <f>$K29*KTDB_TripDistribution_2045!T$12</f>
        <v>202.88531630102912</v>
      </c>
      <c r="D88" s="201">
        <f>$K29*KTDB_TripDistribution_2045!U$12</f>
        <v>1468.3225406939036</v>
      </c>
      <c r="E88" s="201">
        <f>$K29*KTDB_TripDistribution_2045!V$12</f>
        <v>84.234029756125295</v>
      </c>
      <c r="F88" s="201">
        <f>$K29*KTDB_TripDistribution_2045!W$12</f>
        <v>0.13237406457222436</v>
      </c>
      <c r="G88" s="201">
        <f>$K29*KTDB_TripDistribution_2045!X$12</f>
        <v>0.50007979949506942</v>
      </c>
      <c r="H88" s="201">
        <f>$K29*KTDB_TripDistribution_2045!Y$12</f>
        <v>1756.0743406151253</v>
      </c>
      <c r="J88" s="230">
        <f t="shared" ref="J88:J92" si="50">CR88</f>
        <v>1756.0743406151255</v>
      </c>
      <c r="K88" s="206" t="s">
        <v>605</v>
      </c>
      <c r="L88" s="206" t="s">
        <v>606</v>
      </c>
      <c r="M88" s="206">
        <f>INDEX($A$87:$H$100,MATCH($L88,$B$87:$B$100,0),MATCH($M$86,$A$87:$H$87,0))*고양시_Modal_split!C$3 * 0.01</f>
        <v>0.56807888564288145</v>
      </c>
      <c r="N88" s="206">
        <f>INDEX($A$87:$H$100,MATCH($L88,$B$87:$B$100,0),MATCH($M$86,$A$87:$H$87,0))*고양시_Modal_split!D$3 * 0.01</f>
        <v>95.416964256374001</v>
      </c>
      <c r="O88" s="206">
        <f>INDEX($A$87:$H$100,MATCH($L88,$B$87:$B$100,0),MATCH($M$86,$A$87:$H$87,0))*고양시_Modal_split!E$3 * 0.01</f>
        <v>11.544174497528557</v>
      </c>
      <c r="P88" s="206">
        <f>INDEX($A$87:$H$100,MATCH($L88,$B$87:$B$100,0),MATCH($M$86,$A$87:$H$87,0))*고양시_Modal_split!F$3 * 0.01</f>
        <v>18.604583504804371</v>
      </c>
      <c r="Q88" s="206">
        <f>INDEX($A$87:$H$100,MATCH($L88,$B$87:$B$100,0),MATCH($M$86,$A$87:$H$87,0))*고양시_Modal_split!G$3 * 0.01</f>
        <v>1.8665449099694678</v>
      </c>
      <c r="R88" s="206">
        <f>INDEX($A$87:$H$100,MATCH($L88,$B$87:$B$100,0),MATCH($M$86,$A$87:$H$87,0))*고양시_Modal_split!H$3 * 0.01</f>
        <v>2.0288531630102913E-2</v>
      </c>
      <c r="S88" s="206">
        <f>INDEX($A$87:$H$100,MATCH($L88,$B$87:$B$100,0),MATCH($M$86,$A$87:$H$87,0))*고양시_Modal_split!I$3 * 0.01</f>
        <v>5.6402117931686089</v>
      </c>
      <c r="T88" s="206">
        <f>INDEX($A$87:$H$100,MATCH($L88,$B$87:$B$100,0),MATCH($M$86,$A$87:$H$87,0))*고양시_Modal_split!J$3 * 0.01</f>
        <v>61.758290282033272</v>
      </c>
      <c r="U88" s="206">
        <f>INDEX($A$87:$H$100,MATCH($L88,$B$87:$B$100,0),MATCH($M$86,$A$87:$H$87,0))*고양시_Modal_split!K$3 * 0.01</f>
        <v>0.30432797445154369</v>
      </c>
      <c r="V88" s="206">
        <f>INDEX($A$87:$H$100,MATCH($L88,$B$87:$B$100,0),MATCH($M$86,$A$87:$H$87,0))*고양시_Modal_split!L$3 * 0.01</f>
        <v>6.1271365522910797</v>
      </c>
      <c r="W88" s="206">
        <f>INDEX($A$87:$H$100,MATCH($L88,$B$87:$B$100,0),MATCH($M$86,$A$87:$H$87,0))*고양시_Modal_split!M$3 * 0.01</f>
        <v>0.46663622749236694</v>
      </c>
      <c r="X88" s="206">
        <f>INDEX($A$87:$H$100,MATCH($L88,$B$87:$B$100,0),MATCH($M$86,$A$87:$H$87,0))*고양시_Modal_split!N$3 * 0.01</f>
        <v>0.20288531630102913</v>
      </c>
      <c r="Y88" s="206">
        <f>INDEX($A$87:$H$100,MATCH($L88,$B$87:$B$100,0),MATCH($M$86,$A$87:$H$87,0))*고양시_Modal_split!O$3 * 0.01</f>
        <v>0.36519356934185238</v>
      </c>
      <c r="Z88" s="209">
        <f>INDEX($A$87:$H$100,MATCH($L88,$B$87:$B$100,0),MATCH($M$86,$A$87:$H$87,0))*고양시_Modal_split!P$3 * 0.01</f>
        <v>202.88531630102912</v>
      </c>
      <c r="AA88" s="207">
        <f>INDEX($A$87:$H$100,MATCH($L88,$B$87:$B$100,0),MATCH($AA$86,$A$87:$H$87,0))*고양시_Modal_split!C$3 * 0.01</f>
        <v>4.1113031139429292</v>
      </c>
      <c r="AB88" s="207">
        <f>INDEX($A$87:$H$100,MATCH($L88,$B$87:$B$100,0),MATCH($AA$86,$A$87:$H$87,0))*고양시_Modal_split!D$3 * 0.01</f>
        <v>690.55209088834295</v>
      </c>
      <c r="AC88" s="207">
        <f>INDEX($A$87:$H$100,MATCH($L88,$B$87:$B$100,0),MATCH($AA$86,$A$87:$H$87,0))*고양시_Modal_split!E$3 * 0.01</f>
        <v>83.547552565483116</v>
      </c>
      <c r="AD88" s="207">
        <f>INDEX($A$87:$H$100,MATCH($L88,$B$87:$B$100,0),MATCH($AA$86,$A$87:$H$87,0))*고양시_Modal_split!F$3 * 0.01</f>
        <v>134.64517698163095</v>
      </c>
      <c r="AE88" s="207">
        <f>INDEX($A$87:$H$100,MATCH($L88,$B$87:$B$100,0),MATCH($AA$86,$A$87:$H$87,0))*고양시_Modal_split!G$3 * 0.01</f>
        <v>13.508567374383913</v>
      </c>
      <c r="AF88" s="207">
        <f>INDEX($A$87:$H$100,MATCH($L88,$B$87:$B$100,0),MATCH($AA$86,$A$87:$H$87,0))*고양시_Modal_split!H$3 * 0.01</f>
        <v>0.14683225406939038</v>
      </c>
      <c r="AG88" s="207">
        <f>INDEX($A$87:$H$100,MATCH($L88,$B$87:$B$100,0),MATCH($AA$86,$A$87:$H$87,0))*고양시_Modal_split!I$3 * 0.01</f>
        <v>40.819366631290521</v>
      </c>
      <c r="AH88" s="207">
        <f>INDEX($A$87:$H$100,MATCH($L88,$B$87:$B$100,0),MATCH($AA$86,$A$87:$H$87,0))*고양시_Modal_split!J$3 * 0.01</f>
        <v>446.9573813872243</v>
      </c>
      <c r="AI88" s="207">
        <f>INDEX($A$87:$H$100,MATCH($L88,$B$87:$B$100,0),MATCH($AA$86,$A$87:$H$87,0))*고양시_Modal_split!K$3 * 0.01</f>
        <v>2.2024838110408558</v>
      </c>
      <c r="AJ88" s="207">
        <f>INDEX($A$87:$H$100,MATCH($L88,$B$87:$B$100,0),MATCH($AA$86,$A$87:$H$87,0))*고양시_Modal_split!L$3 * 0.01</f>
        <v>44.343340728955894</v>
      </c>
      <c r="AK88" s="207">
        <f>INDEX($A$87:$H$100,MATCH($L88,$B$87:$B$100,0),MATCH($AA$86,$A$87:$H$87,0))*고양시_Modal_split!M$3 * 0.01</f>
        <v>3.3771418435959784</v>
      </c>
      <c r="AL88" s="207">
        <f>INDEX($A$87:$H$100,MATCH($L88,$B$87:$B$100,0),MATCH($AA$86,$A$87:$H$87,0))*고양시_Modal_split!N$3 * 0.01</f>
        <v>1.4683225406939036</v>
      </c>
      <c r="AM88" s="207">
        <f>INDEX($A$87:$H$100,MATCH($L88,$B$87:$B$100,0),MATCH($AA$86,$A$87:$H$87,0))*고양시_Modal_split!O$3 * 0.01</f>
        <v>2.6429805732490261</v>
      </c>
      <c r="AN88" s="207">
        <f>INDEX($A$87:$H$100,MATCH($L88,$B$87:$B$100,0),MATCH($AA$86,$A$87:$H$87,0))*고양시_Modal_split!P$3 * 0.01</f>
        <v>1468.3225406939036</v>
      </c>
      <c r="AO88" s="303">
        <f>INDEX($A$87:$H$100,MATCH($L88,$B$87:$B$100,0),MATCH($AO$86,$A$87:$H$87,0))*고양시_Modal_split!C$3 * 0.01</f>
        <v>0.23585528331715078</v>
      </c>
      <c r="AP88" s="303">
        <f>INDEX($A$87:$H$100,MATCH($L88,$B$87:$B$100,0),MATCH($AO$86,$A$87:$H$87,0))*고양시_Modal_split!D$3 * 0.01</f>
        <v>39.61526419430573</v>
      </c>
      <c r="AQ88" s="303">
        <f>INDEX($A$87:$H$100,MATCH($L88,$B$87:$B$100,0),MATCH($AO$86,$A$87:$H$87,0))*고양시_Modal_split!E$3 * 0.01</f>
        <v>4.792916293123529</v>
      </c>
      <c r="AR88" s="303">
        <f>INDEX($A$87:$H$100,MATCH($L88,$B$87:$B$100,0),MATCH($AO$86,$A$87:$H$87,0))*고양시_Modal_split!F$3 * 0.01</f>
        <v>7.7242605286366892</v>
      </c>
      <c r="AS88" s="303">
        <f>INDEX($A$87:$H$100,MATCH($L88,$B$87:$B$100,0),MATCH($AO$86,$A$87:$H$87,0))*고양시_Modal_split!G$3 * 0.01</f>
        <v>0.77495307375635269</v>
      </c>
      <c r="AT88" s="303">
        <f>INDEX($A$87:$H$100,MATCH($L88,$B$87:$B$100,0),MATCH($AO$86,$A$87:$H$87,0))*고양시_Modal_split!H$3 * 0.01</f>
        <v>8.42340297561253E-3</v>
      </c>
      <c r="AU88" s="303">
        <f>INDEX($A$87:$H$100,MATCH($L88,$B$87:$B$100,0),MATCH($AO$86,$A$87:$H$87,0))*고양시_Modal_split!I$3 * 0.01</f>
        <v>2.3417060272202828</v>
      </c>
      <c r="AV88" s="303">
        <f>INDEX($A$87:$H$100,MATCH($L88,$B$87:$B$100,0),MATCH($AO$86,$A$87:$H$87,0))*고양시_Modal_split!J$3 * 0.01</f>
        <v>25.64083865776454</v>
      </c>
      <c r="AW88" s="303">
        <f>INDEX($A$87:$H$100,MATCH($L88,$B$87:$B$100,0),MATCH($AO$86,$A$87:$H$87,0))*고양시_Modal_split!K$3 * 0.01</f>
        <v>0.12635104463418795</v>
      </c>
      <c r="AX88" s="303">
        <f>INDEX($A$87:$H$100,MATCH($L88,$B$87:$B$100,0),MATCH($AO$86,$A$87:$H$87,0))*고양시_Modal_split!L$3 * 0.01</f>
        <v>2.5438676986349837</v>
      </c>
      <c r="AY88" s="303">
        <f>INDEX($A$87:$H$100,MATCH($L88,$B$87:$B$100,0),MATCH($AO$86,$A$87:$H$87,0))*고양시_Modal_split!M$3 * 0.01</f>
        <v>0.19373826843908817</v>
      </c>
      <c r="AZ88" s="303">
        <f>INDEX($A$87:$H$100,MATCH($L88,$B$87:$B$100,0),MATCH($AO$86,$A$87:$H$87,0))*고양시_Modal_split!N$3 * 0.01</f>
        <v>8.4234029756125303E-2</v>
      </c>
      <c r="BA88" s="207">
        <f>INDEX($A$87:$H$100,MATCH($L88,$B$87:$B$100,0),MATCH($AO$86,$A$87:$H$87,0))*고양시_Modal_split!O$3 * 0.01</f>
        <v>0.15162125356102554</v>
      </c>
      <c r="BB88" s="207">
        <f>INDEX($A$87:$H$100,MATCH($L88,$B$87:$B$100,0),MATCH($AO$86,$A$87:$H$87,0))*고양시_Modal_split!P$3 * 0.01</f>
        <v>84.234029756125295</v>
      </c>
      <c r="BC88" s="207">
        <f>INDEX($A$87:$H$100,MATCH($L88,$B$87:$B$100,0),MATCH($BC$86,$A$87:$H$87,0))*고양시_Modal_split!C$3 * 0.01</f>
        <v>3.7064738080222823E-4</v>
      </c>
      <c r="BD88" s="207">
        <f>INDEX($A$87:$H$100,MATCH($L88,$B$87:$B$100,0),MATCH($BC$86,$A$87:$H$87,0))*고양시_Modal_split!D$3 * 0.01</f>
        <v>6.2255522568317123E-2</v>
      </c>
      <c r="BE88" s="207">
        <f>INDEX($A$87:$H$100,MATCH($L88,$B$87:$B$100,0),MATCH($BC$86,$A$87:$H$87,0))*고양시_Modal_split!E$3 * 0.01</f>
        <v>7.5320842741595662E-3</v>
      </c>
      <c r="BF88" s="207">
        <f>INDEX($A$87:$H$100,MATCH($L88,$B$87:$B$100,0),MATCH($BC$86,$A$87:$H$87,0))*고양시_Modal_split!F$3 * 0.01</f>
        <v>1.2138701721272974E-2</v>
      </c>
      <c r="BG88" s="207">
        <f>INDEX($A$87:$H$100,MATCH($L88,$B$87:$B$100,0),MATCH($BC$86,$A$87:$H$87,0))*고양시_Modal_split!G$3 * 0.01</f>
        <v>1.2178413940644641E-3</v>
      </c>
      <c r="BH88" s="207">
        <f>INDEX($A$87:$H$100,MATCH($L88,$B$87:$B$100,0),MATCH($BC$86,$A$87:$H$87,0))*고양시_Modal_split!H$3 * 0.01</f>
        <v>1.3237406457222436E-5</v>
      </c>
      <c r="BI88" s="207">
        <f>INDEX($A$87:$H$100,MATCH($L88,$B$87:$B$100,0),MATCH($BC$86,$A$87:$H$87,0))*고양시_Modal_split!I$3 * 0.01</f>
        <v>3.6799989951078371E-3</v>
      </c>
      <c r="BJ88" s="207">
        <f>INDEX($A$87:$H$100,MATCH($L88,$B$87:$B$100,0),MATCH($BC$86,$A$87:$H$87,0))*고양시_Modal_split!J$3 * 0.01</f>
        <v>4.0294665255785102E-2</v>
      </c>
      <c r="BK88" s="207">
        <f>INDEX($A$87:$H$100,MATCH($L88,$B$87:$B$100,0),MATCH($BC$86,$A$87:$H$87,0))*고양시_Modal_split!K$3 * 0.01</f>
        <v>1.9856109685833655E-4</v>
      </c>
      <c r="BL88" s="207">
        <f>INDEX($A$87:$H$100,MATCH($L88,$B$87:$B$100,0),MATCH($BC$86,$A$87:$H$87,0))*고양시_Modal_split!L$3 * 0.01</f>
        <v>3.9976967500811762E-3</v>
      </c>
      <c r="BM88" s="207">
        <f>INDEX($A$87:$H$100,MATCH($L88,$B$87:$B$100,0),MATCH($BC$86,$A$87:$H$87,0))*고양시_Modal_split!M$3 * 0.01</f>
        <v>3.0446034851611603E-4</v>
      </c>
      <c r="BN88" s="207">
        <f>INDEX($A$87:$H$100,MATCH($L88,$B$87:$B$100,0),MATCH($BC$86,$A$87:$H$87,0))*고양시_Modal_split!N$3 * 0.01</f>
        <v>1.3237406457222437E-4</v>
      </c>
      <c r="BO88" s="207">
        <f>INDEX($A$87:$H$100,MATCH($L88,$B$87:$B$100,0),MATCH($BC$86,$A$87:$H$87,0))*고양시_Modal_split!O$3 * 0.01</f>
        <v>2.3827331623000385E-4</v>
      </c>
      <c r="BP88" s="207">
        <f>INDEX($A$87:$H$100,MATCH($L88,$B$87:$B$100,0),MATCH($BC$86,$A$87:$H$87,0))*고양시_Modal_split!P$3 * 0.01</f>
        <v>0.13237406457222436</v>
      </c>
      <c r="BQ88" s="207">
        <f>INDEX($A$87:$H$100,MATCH($L88,$B$87:$B$100,0),MATCH($BQ$86,$A$87:$H$87,0))*고양시_Modal_split!C$3 * 0.01</f>
        <v>1.4002234385861942E-3</v>
      </c>
      <c r="BR88" s="207">
        <f>INDEX($A$87:$H$100,MATCH($L88,$B$87:$B$100,0),MATCH($BQ$86,$A$87:$H$87,0))*고양시_Modal_split!D$3 * 0.01</f>
        <v>0.23518752970253115</v>
      </c>
      <c r="BS88" s="207">
        <f>INDEX($A$87:$H$100,MATCH($L88,$B$87:$B$100,0),MATCH($BQ$86,$A$87:$H$87,0))*고양시_Modal_split!E$3 * 0.01</f>
        <v>2.845454059126945E-2</v>
      </c>
      <c r="BT88" s="207">
        <f>INDEX($A$87:$H$100,MATCH($L88,$B$87:$B$100,0),MATCH($BQ$86,$A$87:$H$87,0))*고양시_Modal_split!F$3 * 0.01</f>
        <v>4.5857317613697872E-2</v>
      </c>
      <c r="BU88" s="207">
        <f>INDEX($A$87:$H$100,MATCH($L88,$B$87:$B$100,0),MATCH($BQ$86,$A$87:$H$87,0))*고양시_Modal_split!G$3 * 0.01</f>
        <v>4.6007341553546384E-3</v>
      </c>
      <c r="BV88" s="207">
        <f>INDEX($A$87:$H$100,MATCH($L88,$B$87:$B$100,0),MATCH($BQ$86,$A$87:$H$87,0))*고양시_Modal_split!H$3 * 0.01</f>
        <v>5.0007979949506941E-5</v>
      </c>
      <c r="BW88" s="207">
        <f>INDEX($A$87:$H$100,MATCH($L88,$B$87:$B$100,0),MATCH($BQ$86,$A$87:$H$87,0))*고양시_Modal_split!I$3 * 0.01</f>
        <v>1.3902218425962929E-2</v>
      </c>
      <c r="BX88" s="207">
        <f>INDEX($A$87:$H$100,MATCH($L88,$B$87:$B$100,0),MATCH($BQ$86,$A$87:$H$87,0))*고양시_Modal_split!J$3 * 0.01</f>
        <v>0.15222429096629914</v>
      </c>
      <c r="BY88" s="207">
        <f>INDEX($A$87:$H$100,MATCH($L88,$B$87:$B$100,0),MATCH($BQ$86,$A$87:$H$87,0))*고양시_Modal_split!K$3 * 0.01</f>
        <v>7.5011969924260419E-4</v>
      </c>
      <c r="BZ88" s="207">
        <f>INDEX($A$87:$H$100,MATCH($L88,$B$87:$B$100,0),MATCH($BQ$86,$A$87:$H$87,0))*고양시_Modal_split!L$3 * 0.01</f>
        <v>1.5102409944751096E-2</v>
      </c>
      <c r="CA88" s="207">
        <f>INDEX($A$87:$H$100,MATCH($L88,$B$87:$B$100,0),MATCH($BQ$86,$A$87:$H$87,0))*고양시_Modal_split!M$3 * 0.01</f>
        <v>1.1501835388386596E-3</v>
      </c>
      <c r="CB88" s="207">
        <f>INDEX($A$87:$H$100,MATCH($L88,$B$87:$B$100,0),MATCH($BQ$86,$A$87:$H$87,0))*고양시_Modal_split!N$3 * 0.01</f>
        <v>5.0007979949506949E-4</v>
      </c>
      <c r="CC88" s="207">
        <f>INDEX($A$87:$H$100,MATCH($L88,$B$87:$B$100,0),MATCH($BQ$86,$A$87:$H$87,0))*고양시_Modal_split!O$3 * 0.01</f>
        <v>9.0014363909112491E-4</v>
      </c>
      <c r="CD88" s="207">
        <f>INDEX($A$87:$H$100,MATCH($L88,$B$87:$B$100,0),MATCH($BQ$86,$A$87:$H$87,0))*고양시_Modal_split!P$3 * 0.01</f>
        <v>0.50007979949506942</v>
      </c>
      <c r="CE88" s="304">
        <f>M88+AA88+AO88+BC88+BQ88</f>
        <v>4.9170081537223504</v>
      </c>
      <c r="CF88" s="304">
        <f t="shared" ref="CF88:CF100" si="51">N88+AB88+AP88+BD88+BR88</f>
        <v>825.88176239129359</v>
      </c>
      <c r="CG88" s="304">
        <f t="shared" ref="CG88:CG100" si="52">O88+AC88+AQ88+BE88+BS88</f>
        <v>99.92062998100063</v>
      </c>
      <c r="CH88" s="304">
        <f t="shared" ref="CH88:CH100" si="53">P88+AD88+AR88+BF88+BT88</f>
        <v>161.03201703440698</v>
      </c>
      <c r="CI88" s="304">
        <f t="shared" ref="CI88:CI100" si="54">Q88+AE88+AS88+BG88+BU88</f>
        <v>16.155883933659155</v>
      </c>
      <c r="CJ88" s="304">
        <f t="shared" ref="CJ88:CJ100" si="55">R88+AF88+AT88+BH88+BV88</f>
        <v>0.17560743406151255</v>
      </c>
      <c r="CK88" s="304">
        <f t="shared" ref="CK88:CK100" si="56">S88+AG88+AU88+BI88+BW88</f>
        <v>48.818866669100487</v>
      </c>
      <c r="CL88" s="304">
        <f t="shared" ref="CL88:CL100" si="57">T88+AH88+AV88+BJ88+BX88</f>
        <v>534.54902928324418</v>
      </c>
      <c r="CM88" s="304">
        <f t="shared" ref="CM88:CM100" si="58">U88+AI88+AW88+BK88+BY88</f>
        <v>2.6341115109226885</v>
      </c>
      <c r="CN88" s="304">
        <f t="shared" ref="CN88:CN100" si="59">V88+AJ88+AX88+BL88+BZ88</f>
        <v>53.033445086576791</v>
      </c>
      <c r="CO88" s="304">
        <f t="shared" ref="CO88:CO100" si="60">W88+AK88+AY88+BM88+CA88</f>
        <v>4.0389709834147887</v>
      </c>
      <c r="CP88" s="304">
        <f t="shared" ref="CP88:CP100" si="61">X88+AL88+AZ88+BN88+CB88</f>
        <v>1.7560743406151254</v>
      </c>
      <c r="CQ88" s="304">
        <f t="shared" ref="CQ88:CQ100" si="62">Y88+AM88+BA88+BO88+CC88</f>
        <v>3.1609338131072251</v>
      </c>
      <c r="CR88" s="304">
        <f t="shared" ref="CR88:CR100" si="63">Z88+AN88+BB88+BP88+CD88</f>
        <v>1756.0743406151255</v>
      </c>
      <c r="CS88" s="305">
        <f>H88-CR88</f>
        <v>0</v>
      </c>
      <c r="CV88" s="265" t="s">
        <v>605</v>
      </c>
      <c r="CW88" s="265" t="s">
        <v>606</v>
      </c>
      <c r="CX88" s="267">
        <f>INDEX($M$86:$Z$100,MATCH($CW88,$L$86:$L$100,0),MATCH(CX$87,$M$87:$Z$87,0))/INDEX(고양시_재차인원!$D$4:$H$35,MATCH("고양시",고양시_재차인원!$B$4:$B$35,0),MATCH($CX$86,고양시_재차인원!$D$4:$H$4,0))</f>
        <v>85.193718086048207</v>
      </c>
      <c r="CY88" s="267">
        <f>INDEX($M$86:$Z$100,MATCH($CW88,$L$86:$L$100,0),MATCH(CY$87,$M$87:$Z$87,0))/INDEX(고양시_재차인원!$K$4:$O$20,MATCH("경기도",고양시_재차인원!$K$4:$K$20,0),MATCH($CY$87,고양시_재차인원!$K$4:$O$4,0))</f>
        <v>7.0470759395980945E-4</v>
      </c>
      <c r="CZ88" s="267">
        <f>INDEX($M$86:$Z$100,MATCH($CW88,$L$86:$L$100,0),MATCH(CZ$87,$M$87:$Z$87,0))/INDEX(고양시_재차인원!$K$4:$O$20,MATCH("경기도",고양시_재차인원!$K$4:$K$20,0),MATCH($CZ$87,고양시_재차인원!$K$4:$O$4,0))</f>
        <v>0.195908711120827</v>
      </c>
      <c r="DA88" s="267">
        <f>INDEX($M$86:$Z$100,MATCH($CW88,$L$86:$L$100,0),MATCH(DA$87,$M$87:$Z$87,0))/INDEX(고양시_재차인원!$D$4:$H$35,MATCH("고양시",고양시_재차인원!$B$4:$B$35,0),MATCH($CX$86,고양시_재차인원!$D$4:$H$4,0))</f>
        <v>5.4706576359741774</v>
      </c>
      <c r="DB88" s="267">
        <f>INDEX($AA$86:$AN$100,MATCH($CW88,$L$86:$L$100,0),MATCH(DB$87,$AA$87:$AN$87,0))/INDEX(고양시_재차인원!$D$4:$H$35,MATCH("고양시",고양시_재차인원!$B$4:$B$35,0),MATCH($DB$86,고양시_재차인원!$D$4:$H$4,0))</f>
        <v>489.75325594917945</v>
      </c>
      <c r="DC88" s="267">
        <f>INDEX($AA$86:$AN$100,MATCH($CW88,$L$86:$L$100,0),MATCH(DC$87,$AA$87:$AN$87,0))/INDEX(고양시_재차인원!$K$4:$O$20,MATCH("경기도",고양시_재차인원!$K$4:$K$20,0),MATCH(DC$87,고양시_재차인원!$K$4:$O$4,0))</f>
        <v>5.1001130277662518E-3</v>
      </c>
      <c r="DD88" s="267">
        <f>INDEX($AA$86:$AN$100,MATCH($CW88,$L$86:$L$100,0),MATCH(DD$87,$AA$87:$AN$87,0))/INDEX(고양시_재차인원!$K$4:$O$20,MATCH("경기도",고양시_재차인원!$K$4:$K$20,0),MATCH(DD$87,고양시_재차인원!$K$4:$O$4,0))</f>
        <v>1.4178314217190178</v>
      </c>
      <c r="DE88" s="267">
        <f>INDEX($AA$86:$AN$100,MATCH($CW88,$L$86:$L$100,0),MATCH(DE$87,$AA$87:$AN$87,0))/INDEX(고양시_재차인원!$D$4:$H$35,MATCH("고양시",고양시_재차인원!$B$4:$B$35,0),MATCH($DB$86,고양시_재차인원!$D$4:$H$4,0))</f>
        <v>31.449177821954535</v>
      </c>
      <c r="DF88" s="267">
        <f>INDEX($AO$86:$BB$100,MATCH($CW88,$L$86:$L$100,0),MATCH(DF$87,$AO$87:$BB$87,0))/INDEX(고양시_재차인원!$D$4:$H$35,MATCH("고양시",고양시_재차인원!$B$4:$B$35,0),MATCH($DF$86,고양시_재차인원!$D$4:$H$4,0))</f>
        <v>30.473280149465946</v>
      </c>
      <c r="DG88" s="267">
        <f>INDEX($AO$86:$BB$100,MATCH($CW88,$L$86:$L$100,0),MATCH(DG$87,$AO$87:$BB$87,0))/INDEX(고양시_재차인원!$K$4:$O$20,MATCH("경기도",고양시_재차인원!$K$4:$K$20,0),MATCH(DG$87,고양시_재차인원!$K$4:$O$4,0))</f>
        <v>2.925808605631306E-4</v>
      </c>
      <c r="DH88" s="267">
        <f>INDEX($AO$86:$BB$100,MATCH($CW88,$L$86:$L$100,0),MATCH(DH$87,$AO$87:$BB$87,0))/INDEX(고양시_재차인원!$K$4:$O$20,MATCH("경기도",고양시_재차인원!$K$4:$K$20,0),MATCH(DH$87,고양시_재차인원!$K$4:$O$4,0))</f>
        <v>8.1337479236550284E-2</v>
      </c>
      <c r="DI88" s="267">
        <f>INDEX($AO$86:$BB$100,MATCH($CW88,$L$86:$L$100,0),MATCH(DI$87,$AO$87:$BB$87,0))/INDEX(고양시_재차인원!$D$4:$H$35,MATCH("고양시",고양시_재차인원!$B$4:$B$35,0),MATCH($DF$86,고양시_재차인원!$D$4:$H$4,0))</f>
        <v>1.956821306642295</v>
      </c>
      <c r="DJ88" s="267">
        <f>INDEX($BC$86:$BP$100,MATCH($CW88,$L$86:$L$100,0),MATCH(DJ$87,$BC$87:$BP$87,0))/INDEX(고양시_재차인원!$D$4:$H$35,MATCH("고양시",고양시_재차인원!$B$4:$B$35,0),MATCH($DJ$86,고양시_재차인원!$D$4:$H$4,0))</f>
        <v>4.5776119535527293E-2</v>
      </c>
      <c r="DK88" s="267">
        <f>INDEX($BC$86:$BP$100,MATCH($CW88,$L$86:$L$100,0),MATCH(DK$87,$BC$87:$BP$87,0))/INDEX(고양시_재차인원!$K$4:$O$20,MATCH("경기도",고양시_재차인원!$K$4:$K$20,0),MATCH(DK$87,고양시_재차인원!$K$4:$O$4,0))</f>
        <v>4.5979181859056746E-7</v>
      </c>
      <c r="DL88" s="267">
        <f>INDEX($BC$86:$BP$100,MATCH($CW88,$L$86:$L$100,0),MATCH(DL$87,$BC$87:$BP$87,0))/INDEX(고양시_재차인원!$K$4:$O$20,MATCH("경기도",고양시_재차인원!$K$4:$K$20,0),MATCH(DL$87,고양시_재차인원!$K$4:$O$4,0))</f>
        <v>1.2782212556817775E-4</v>
      </c>
      <c r="DM88" s="267">
        <f>INDEX($BC$86:$BP$100,MATCH($CW88,$L$86:$L$100,0),MATCH(DM$87,$BC$87:$BP$87,0))/INDEX(고양시_재차인원!$D$4:$H$35,MATCH("고양시",고양시_재차인원!$B$4:$B$35,0),MATCH($DJ$86,고양시_재차인원!$D$4:$H$4,0))</f>
        <v>2.9394829044714528E-3</v>
      </c>
      <c r="DN88" s="267">
        <f>INDEX($BQ$86:$CD$100,MATCH($CW88,$L$86:$L$100,0),MATCH(DN$87,$BQ$87:$CD$87,0))/INDEX(고양시_재차인원!$D$4:$H$35,MATCH("고양시",고양시_재차인원!$B$4:$B$35,0),MATCH($DN$86,고양시_재차인원!$D$4:$H$4,0))</f>
        <v>0.18665676960518346</v>
      </c>
      <c r="DO88" s="267">
        <f>INDEX($BQ$86:$CD$100,MATCH($CW88,$L$86:$L$100,0),MATCH(DO$87,$BQ$87:$CD$87,0))/INDEX(고양시_재차인원!$K$4:$O$20,MATCH("경기도",고양시_재차인원!$K$4:$K$20,0),MATCH(DO$87,고양시_재차인원!$K$4:$O$4,0))</f>
        <v>1.7369913146754756E-6</v>
      </c>
      <c r="DP88" s="267">
        <f>INDEX($BQ$86:$CD$100,MATCH($CW88,$L$86:$L$100,0),MATCH(DP$87,$BQ$87:$CD$87,0))/INDEX(고양시_재차인원!$K$4:$O$20,MATCH("경기도",고양시_재차인원!$K$4:$K$20,0),MATCH(DP$87,고양시_재차인원!$K$4:$O$4,0))</f>
        <v>4.828835854797822E-4</v>
      </c>
      <c r="DQ88" s="267">
        <f>INDEX($BQ$86:$CD$100,MATCH($CW88,$L$86:$L$100,0),MATCH(DQ$87,$BQ$87:$CD$87,0))/INDEX(고양시_재차인원!$D$4:$H$35,MATCH("고양시",고양시_재차인원!$B$4:$B$35,0),MATCH($DN$86,고양시_재차인원!$D$4:$H$4,0))</f>
        <v>1.1986039638691345E-2</v>
      </c>
      <c r="DR88" s="270">
        <f>CX88+DB88+DF88+DJ88+DN88</f>
        <v>605.65268707383427</v>
      </c>
      <c r="DS88" s="270">
        <f t="shared" ref="DS88:DS100" si="64">CY88+DC88+DG88+DK88+DO88</f>
        <v>6.0995982654224587E-3</v>
      </c>
      <c r="DT88" s="270">
        <f t="shared" ref="DT88:DT100" si="65">CZ88+DD88+DH88+DL88+DP88</f>
        <v>1.6956883177874431</v>
      </c>
      <c r="DU88" s="270">
        <f t="shared" ref="DU88:DU100" si="66">DA88+DE88+DI88+DM88+DQ88</f>
        <v>38.891582287114176</v>
      </c>
      <c r="DW88" s="278" t="s">
        <v>605</v>
      </c>
      <c r="DX88" s="278" t="s">
        <v>606</v>
      </c>
      <c r="DY88" s="281">
        <f>DR88+DU88</f>
        <v>644.54426936094842</v>
      </c>
      <c r="DZ88" s="281">
        <f>DS88+DT88</f>
        <v>1.7017879160528655</v>
      </c>
      <c r="EB88" s="278" t="s">
        <v>636</v>
      </c>
      <c r="EC88" s="278" t="s">
        <v>606</v>
      </c>
      <c r="ED88" s="309">
        <f>DY88+DY$94*($EN90/SUM($EN$90:$EN$93))</f>
        <v>756.93978469466197</v>
      </c>
      <c r="EE88" s="309">
        <f t="shared" ref="EE88:EE91" si="67">DZ88+DZ$94*($EN90/SUM($EN$90:$EN$93))</f>
        <v>1.998545390916604</v>
      </c>
      <c r="EF88" t="b">
        <f>SUM(ED88:EE91) = SUM(DY88:DZ91)+DY94+DZ94</f>
        <v>1</v>
      </c>
      <c r="EK88" s="420" t="s">
        <v>12</v>
      </c>
      <c r="EL88" s="420" t="s">
        <v>12</v>
      </c>
      <c r="EM88" s="420" t="s">
        <v>567</v>
      </c>
      <c r="EN88" s="420">
        <v>14267.0414</v>
      </c>
      <c r="EO88" s="420">
        <v>0.4735987268619668</v>
      </c>
      <c r="EP88" s="421">
        <v>849001</v>
      </c>
      <c r="EQ88" s="422">
        <f>VLOOKUP($EL88,$EC$88:$EE$99,2,FALSE)*$EO88 * $CW$9*(1-$DA$5)</f>
        <v>30.542853291793833</v>
      </c>
      <c r="ER88" s="422">
        <f>VLOOKUP($EL88,$EC$88:$EE$99,3,FALSE)*$EO88* $CW$9*(1-$DA$5)</f>
        <v>8.0642185687702622E-2</v>
      </c>
      <c r="ES88">
        <v>0</v>
      </c>
      <c r="EU88" s="306" t="s">
        <v>12</v>
      </c>
      <c r="EV88" s="306" t="s">
        <v>12</v>
      </c>
      <c r="EW88" s="306" t="s">
        <v>567</v>
      </c>
      <c r="EX88" s="306">
        <v>14267.0414</v>
      </c>
      <c r="EY88" s="306">
        <v>0.4735987268619668</v>
      </c>
      <c r="EZ88" s="307">
        <v>849001</v>
      </c>
      <c r="FA88" s="308">
        <f>EQ88*$EG$55</f>
        <v>30.542853291793833</v>
      </c>
      <c r="FB88" s="308">
        <f t="shared" ref="FB88:FB107" si="68">ER88*$EG$55</f>
        <v>8.0642185687702622E-2</v>
      </c>
      <c r="FD88" s="101"/>
      <c r="FE88" s="101"/>
      <c r="FF88" s="101"/>
      <c r="FG88" s="101"/>
      <c r="FH88" s="101"/>
      <c r="FI88" s="374"/>
      <c r="FJ88" s="404"/>
      <c r="FK88" s="404"/>
    </row>
    <row r="89" spans="1:167">
      <c r="A89" s="205" t="s">
        <v>605</v>
      </c>
      <c r="B89" s="205" t="s">
        <v>607</v>
      </c>
      <c r="C89" s="201">
        <f>$K30*KTDB_TripDistribution_2045!T$12</f>
        <v>201.68007687402297</v>
      </c>
      <c r="D89" s="201">
        <f>$K30*KTDB_TripDistribution_2045!U$12</f>
        <v>1459.5999763907266</v>
      </c>
      <c r="E89" s="201">
        <f>$K30*KTDB_TripDistribution_2045!V$12</f>
        <v>83.733637832211684</v>
      </c>
      <c r="F89" s="201">
        <f>$K30*KTDB_TripDistribution_2045!W$12</f>
        <v>0.13158769695999764</v>
      </c>
      <c r="G89" s="201">
        <f>$K30*KTDB_TripDistribution_2045!X$12</f>
        <v>0.49710907740443516</v>
      </c>
      <c r="H89" s="201">
        <f>$K30*KTDB_TripDistribution_2045!Y$12</f>
        <v>1745.6423878713256</v>
      </c>
      <c r="J89" s="230">
        <f t="shared" si="50"/>
        <v>1745.6423878713258</v>
      </c>
      <c r="K89" s="206" t="s">
        <v>605</v>
      </c>
      <c r="L89" s="206" t="s">
        <v>607</v>
      </c>
      <c r="M89" s="206">
        <f>INDEX($A$87:$H$100,MATCH($L89,$B$87:$B$100,0),MATCH($M$86,$A$87:$H$87,0))*고양시_Modal_split!C$3 * 0.01</f>
        <v>0.56470421524726422</v>
      </c>
      <c r="N89" s="206">
        <f>INDEX($A$87:$H$100,MATCH($L89,$B$87:$B$100,0),MATCH($M$86,$A$87:$H$87,0))*고양시_Modal_split!D$3 * 0.01</f>
        <v>94.850140153853005</v>
      </c>
      <c r="O89" s="206">
        <f>INDEX($A$87:$H$100,MATCH($L89,$B$87:$B$100,0),MATCH($M$86,$A$87:$H$87,0))*고양시_Modal_split!E$3 * 0.01</f>
        <v>11.475596374131905</v>
      </c>
      <c r="P89" s="206">
        <f>INDEX($A$87:$H$100,MATCH($L89,$B$87:$B$100,0),MATCH($M$86,$A$87:$H$87,0))*고양시_Modal_split!F$3 * 0.01</f>
        <v>18.494063049347908</v>
      </c>
      <c r="Q89" s="206">
        <f>INDEX($A$87:$H$100,MATCH($L89,$B$87:$B$100,0),MATCH($M$86,$A$87:$H$87,0))*고양시_Modal_split!G$3 * 0.01</f>
        <v>1.8554567072410111</v>
      </c>
      <c r="R89" s="206">
        <f>INDEX($A$87:$H$100,MATCH($L89,$B$87:$B$100,0),MATCH($M$86,$A$87:$H$87,0))*고양시_Modal_split!H$3 * 0.01</f>
        <v>2.0168007687402296E-2</v>
      </c>
      <c r="S89" s="206">
        <f>INDEX($A$87:$H$100,MATCH($L89,$B$87:$B$100,0),MATCH($M$86,$A$87:$H$87,0))*고양시_Modal_split!I$3 * 0.01</f>
        <v>5.6067061370978388</v>
      </c>
      <c r="T89" s="206">
        <f>INDEX($A$87:$H$100,MATCH($L89,$B$87:$B$100,0),MATCH($M$86,$A$87:$H$87,0))*고양시_Modal_split!J$3 * 0.01</f>
        <v>61.391415400452601</v>
      </c>
      <c r="U89" s="206">
        <f>INDEX($A$87:$H$100,MATCH($L89,$B$87:$B$100,0),MATCH($M$86,$A$87:$H$87,0))*고양시_Modal_split!K$3 * 0.01</f>
        <v>0.30252011531103445</v>
      </c>
      <c r="V89" s="206">
        <f>INDEX($A$87:$H$100,MATCH($L89,$B$87:$B$100,0),MATCH($M$86,$A$87:$H$87,0))*고양시_Modal_split!L$3 * 0.01</f>
        <v>6.0907383215954942</v>
      </c>
      <c r="W89" s="206">
        <f>INDEX($A$87:$H$100,MATCH($L89,$B$87:$B$100,0),MATCH($M$86,$A$87:$H$87,0))*고양시_Modal_split!M$3 * 0.01</f>
        <v>0.46386417681025277</v>
      </c>
      <c r="X89" s="206">
        <f>INDEX($A$87:$H$100,MATCH($L89,$B$87:$B$100,0),MATCH($M$86,$A$87:$H$87,0))*고양시_Modal_split!N$3 * 0.01</f>
        <v>0.20168007687402298</v>
      </c>
      <c r="Y89" s="206">
        <f>INDEX($A$87:$H$100,MATCH($L89,$B$87:$B$100,0),MATCH($M$86,$A$87:$H$87,0))*고양시_Modal_split!O$3 * 0.01</f>
        <v>0.36302413837324132</v>
      </c>
      <c r="Z89" s="209">
        <f>INDEX($A$87:$H$100,MATCH($L89,$B$87:$B$100,0),MATCH($M$86,$A$87:$H$87,0))*고양시_Modal_split!P$3 * 0.01</f>
        <v>201.68007687402297</v>
      </c>
      <c r="AA89" s="207">
        <f>INDEX($A$87:$H$100,MATCH($L89,$B$87:$B$100,0),MATCH($AA$86,$A$87:$H$87,0))*고양시_Modal_split!C$3 * 0.01</f>
        <v>4.0868799338940338</v>
      </c>
      <c r="AB89" s="207">
        <f>INDEX($A$87:$H$100,MATCH($L89,$B$87:$B$100,0),MATCH($AA$86,$A$87:$H$87,0))*고양시_Modal_split!D$3 * 0.01</f>
        <v>686.44986889655877</v>
      </c>
      <c r="AC89" s="207">
        <f>INDEX($A$87:$H$100,MATCH($L89,$B$87:$B$100,0),MATCH($AA$86,$A$87:$H$87,0))*고양시_Modal_split!E$3 * 0.01</f>
        <v>83.051238656632336</v>
      </c>
      <c r="AD89" s="207">
        <f>INDEX($A$87:$H$100,MATCH($L89,$B$87:$B$100,0),MATCH($AA$86,$A$87:$H$87,0))*고양시_Modal_split!F$3 * 0.01</f>
        <v>133.84531783502965</v>
      </c>
      <c r="AE89" s="207">
        <f>INDEX($A$87:$H$100,MATCH($L89,$B$87:$B$100,0),MATCH($AA$86,$A$87:$H$87,0))*고양시_Modal_split!G$3 * 0.01</f>
        <v>13.428319782794684</v>
      </c>
      <c r="AF89" s="207">
        <f>INDEX($A$87:$H$100,MATCH($L89,$B$87:$B$100,0),MATCH($AA$86,$A$87:$H$87,0))*고양시_Modal_split!H$3 * 0.01</f>
        <v>0.14595999763907266</v>
      </c>
      <c r="AG89" s="207">
        <f>INDEX($A$87:$H$100,MATCH($L89,$B$87:$B$100,0),MATCH($AA$86,$A$87:$H$87,0))*고양시_Modal_split!I$3 * 0.01</f>
        <v>40.576879343662199</v>
      </c>
      <c r="AH89" s="207">
        <f>INDEX($A$87:$H$100,MATCH($L89,$B$87:$B$100,0),MATCH($AA$86,$A$87:$H$87,0))*고양시_Modal_split!J$3 * 0.01</f>
        <v>444.30223281333718</v>
      </c>
      <c r="AI89" s="207">
        <f>INDEX($A$87:$H$100,MATCH($L89,$B$87:$B$100,0),MATCH($AA$86,$A$87:$H$87,0))*고양시_Modal_split!K$3 * 0.01</f>
        <v>2.18939996458609</v>
      </c>
      <c r="AJ89" s="207">
        <f>INDEX($A$87:$H$100,MATCH($L89,$B$87:$B$100,0),MATCH($AA$86,$A$87:$H$87,0))*고양시_Modal_split!L$3 * 0.01</f>
        <v>44.079919286999946</v>
      </c>
      <c r="AK89" s="207">
        <f>INDEX($A$87:$H$100,MATCH($L89,$B$87:$B$100,0),MATCH($AA$86,$A$87:$H$87,0))*고양시_Modal_split!M$3 * 0.01</f>
        <v>3.3570799456986711</v>
      </c>
      <c r="AL89" s="207">
        <f>INDEX($A$87:$H$100,MATCH($L89,$B$87:$B$100,0),MATCH($AA$86,$A$87:$H$87,0))*고양시_Modal_split!N$3 * 0.01</f>
        <v>1.4595999763907268</v>
      </c>
      <c r="AM89" s="207">
        <f>INDEX($A$87:$H$100,MATCH($L89,$B$87:$B$100,0),MATCH($AA$86,$A$87:$H$87,0))*고양시_Modal_split!O$3 * 0.01</f>
        <v>2.6272799575033079</v>
      </c>
      <c r="AN89" s="207">
        <f>INDEX($A$87:$H$100,MATCH($L89,$B$87:$B$100,0),MATCH($AA$86,$A$87:$H$87,0))*고양시_Modal_split!P$3 * 0.01</f>
        <v>1459.5999763907266</v>
      </c>
      <c r="AO89" s="303">
        <f>INDEX($A$87:$H$100,MATCH($L89,$B$87:$B$100,0),MATCH($AO$86,$A$87:$H$87,0))*고양시_Modal_split!C$3 * 0.01</f>
        <v>0.23445418593019271</v>
      </c>
      <c r="AP89" s="303">
        <f>INDEX($A$87:$H$100,MATCH($L89,$B$87:$B$100,0),MATCH($AO$86,$A$87:$H$87,0))*고양시_Modal_split!D$3 * 0.01</f>
        <v>39.379929872489157</v>
      </c>
      <c r="AQ89" s="303">
        <f>INDEX($A$87:$H$100,MATCH($L89,$B$87:$B$100,0),MATCH($AO$86,$A$87:$H$87,0))*고양시_Modal_split!E$3 * 0.01</f>
        <v>4.7644439926528444</v>
      </c>
      <c r="AR89" s="303">
        <f>INDEX($A$87:$H$100,MATCH($L89,$B$87:$B$100,0),MATCH($AO$86,$A$87:$H$87,0))*고양시_Modal_split!F$3 * 0.01</f>
        <v>7.6783745892138109</v>
      </c>
      <c r="AS89" s="303">
        <f>INDEX($A$87:$H$100,MATCH($L89,$B$87:$B$100,0),MATCH($AO$86,$A$87:$H$87,0))*고양시_Modal_split!G$3 * 0.01</f>
        <v>0.77034946805634752</v>
      </c>
      <c r="AT89" s="303">
        <f>INDEX($A$87:$H$100,MATCH($L89,$B$87:$B$100,0),MATCH($AO$86,$A$87:$H$87,0))*고양시_Modal_split!H$3 * 0.01</f>
        <v>8.3733637832211685E-3</v>
      </c>
      <c r="AU89" s="303">
        <f>INDEX($A$87:$H$100,MATCH($L89,$B$87:$B$100,0),MATCH($AO$86,$A$87:$H$87,0))*고양시_Modal_split!I$3 * 0.01</f>
        <v>2.3277951317354848</v>
      </c>
      <c r="AV89" s="303">
        <f>INDEX($A$87:$H$100,MATCH($L89,$B$87:$B$100,0),MATCH($AO$86,$A$87:$H$87,0))*고양시_Modal_split!J$3 * 0.01</f>
        <v>25.488519356125238</v>
      </c>
      <c r="AW89" s="303">
        <f>INDEX($A$87:$H$100,MATCH($L89,$B$87:$B$100,0),MATCH($AO$86,$A$87:$H$87,0))*고양시_Modal_split!K$3 * 0.01</f>
        <v>0.12560045674831752</v>
      </c>
      <c r="AX89" s="303">
        <f>INDEX($A$87:$H$100,MATCH($L89,$B$87:$B$100,0),MATCH($AO$86,$A$87:$H$87,0))*고양시_Modal_split!L$3 * 0.01</f>
        <v>2.5287558625327931</v>
      </c>
      <c r="AY89" s="303">
        <f>INDEX($A$87:$H$100,MATCH($L89,$B$87:$B$100,0),MATCH($AO$86,$A$87:$H$87,0))*고양시_Modal_split!M$3 * 0.01</f>
        <v>0.19258736701408688</v>
      </c>
      <c r="AZ89" s="303">
        <f>INDEX($A$87:$H$100,MATCH($L89,$B$87:$B$100,0),MATCH($AO$86,$A$87:$H$87,0))*고양시_Modal_split!N$3 * 0.01</f>
        <v>8.3733637832211688E-2</v>
      </c>
      <c r="BA89" s="207">
        <f>INDEX($A$87:$H$100,MATCH($L89,$B$87:$B$100,0),MATCH($AO$86,$A$87:$H$87,0))*고양시_Modal_split!O$3 * 0.01</f>
        <v>0.15072054809798102</v>
      </c>
      <c r="BB89" s="207">
        <f>INDEX($A$87:$H$100,MATCH($L89,$B$87:$B$100,0),MATCH($AO$86,$A$87:$H$87,0))*고양시_Modal_split!P$3 * 0.01</f>
        <v>83.733637832211684</v>
      </c>
      <c r="BC89" s="207">
        <f>INDEX($A$87:$H$100,MATCH($L89,$B$87:$B$100,0),MATCH($BC$86,$A$87:$H$87,0))*고양시_Modal_split!C$3 * 0.01</f>
        <v>3.6844555148799336E-4</v>
      </c>
      <c r="BD89" s="207">
        <f>INDEX($A$87:$H$100,MATCH($L89,$B$87:$B$100,0),MATCH($BC$86,$A$87:$H$87,0))*고양시_Modal_split!D$3 * 0.01</f>
        <v>6.1885693880286897E-2</v>
      </c>
      <c r="BE89" s="207">
        <f>INDEX($A$87:$H$100,MATCH($L89,$B$87:$B$100,0),MATCH($BC$86,$A$87:$H$87,0))*고양시_Modal_split!E$3 * 0.01</f>
        <v>7.4873399570238655E-3</v>
      </c>
      <c r="BF89" s="207">
        <f>INDEX($A$87:$H$100,MATCH($L89,$B$87:$B$100,0),MATCH($BC$86,$A$87:$H$87,0))*고양시_Modal_split!F$3 * 0.01</f>
        <v>1.2066591811231785E-2</v>
      </c>
      <c r="BG89" s="207">
        <f>INDEX($A$87:$H$100,MATCH($L89,$B$87:$B$100,0),MATCH($BC$86,$A$87:$H$87,0))*고양시_Modal_split!G$3 * 0.01</f>
        <v>1.2106068120319783E-3</v>
      </c>
      <c r="BH89" s="207">
        <f>INDEX($A$87:$H$100,MATCH($L89,$B$87:$B$100,0),MATCH($BC$86,$A$87:$H$87,0))*고양시_Modal_split!H$3 * 0.01</f>
        <v>1.3158769695999765E-5</v>
      </c>
      <c r="BI89" s="207">
        <f>INDEX($A$87:$H$100,MATCH($L89,$B$87:$B$100,0),MATCH($BC$86,$A$87:$H$87,0))*고양시_Modal_split!I$3 * 0.01</f>
        <v>3.658137975487934E-3</v>
      </c>
      <c r="BJ89" s="207">
        <f>INDEX($A$87:$H$100,MATCH($L89,$B$87:$B$100,0),MATCH($BC$86,$A$87:$H$87,0))*고양시_Modal_split!J$3 * 0.01</f>
        <v>4.0055294954623281E-2</v>
      </c>
      <c r="BK89" s="207">
        <f>INDEX($A$87:$H$100,MATCH($L89,$B$87:$B$100,0),MATCH($BC$86,$A$87:$H$87,0))*고양시_Modal_split!K$3 * 0.01</f>
        <v>1.9738154543999645E-4</v>
      </c>
      <c r="BL89" s="207">
        <f>INDEX($A$87:$H$100,MATCH($L89,$B$87:$B$100,0),MATCH($BC$86,$A$87:$H$87,0))*고양시_Modal_split!L$3 * 0.01</f>
        <v>3.9739484481919295E-3</v>
      </c>
      <c r="BM89" s="207">
        <f>INDEX($A$87:$H$100,MATCH($L89,$B$87:$B$100,0),MATCH($BC$86,$A$87:$H$87,0))*고양시_Modal_split!M$3 * 0.01</f>
        <v>3.0265170300799456E-4</v>
      </c>
      <c r="BN89" s="207">
        <f>INDEX($A$87:$H$100,MATCH($L89,$B$87:$B$100,0),MATCH($BC$86,$A$87:$H$87,0))*고양시_Modal_split!N$3 * 0.01</f>
        <v>1.3158769695999765E-4</v>
      </c>
      <c r="BO89" s="207">
        <f>INDEX($A$87:$H$100,MATCH($L89,$B$87:$B$100,0),MATCH($BC$86,$A$87:$H$87,0))*고양시_Modal_split!O$3 * 0.01</f>
        <v>2.3685785452799574E-4</v>
      </c>
      <c r="BP89" s="207">
        <f>INDEX($A$87:$H$100,MATCH($L89,$B$87:$B$100,0),MATCH($BC$86,$A$87:$H$87,0))*고양시_Modal_split!P$3 * 0.01</f>
        <v>0.13158769695999764</v>
      </c>
      <c r="BQ89" s="207">
        <f>INDEX($A$87:$H$100,MATCH($L89,$B$87:$B$100,0),MATCH($BQ$86,$A$87:$H$87,0))*고양시_Modal_split!C$3 * 0.01</f>
        <v>1.3919054167324182E-3</v>
      </c>
      <c r="BR89" s="207">
        <f>INDEX($A$87:$H$100,MATCH($L89,$B$87:$B$100,0),MATCH($BQ$86,$A$87:$H$87,0))*고양시_Modal_split!D$3 * 0.01</f>
        <v>0.23379039910330587</v>
      </c>
      <c r="BS89" s="207">
        <f>INDEX($A$87:$H$100,MATCH($L89,$B$87:$B$100,0),MATCH($BQ$86,$A$87:$H$87,0))*고양시_Modal_split!E$3 * 0.01</f>
        <v>2.8285506504312358E-2</v>
      </c>
      <c r="BT89" s="207">
        <f>INDEX($A$87:$H$100,MATCH($L89,$B$87:$B$100,0),MATCH($BQ$86,$A$87:$H$87,0))*고양시_Modal_split!F$3 * 0.01</f>
        <v>4.558490239798671E-2</v>
      </c>
      <c r="BU89" s="207">
        <f>INDEX($A$87:$H$100,MATCH($L89,$B$87:$B$100,0),MATCH($BQ$86,$A$87:$H$87,0))*고양시_Modal_split!G$3 * 0.01</f>
        <v>4.5734035121208034E-3</v>
      </c>
      <c r="BV89" s="207">
        <f>INDEX($A$87:$H$100,MATCH($L89,$B$87:$B$100,0),MATCH($BQ$86,$A$87:$H$87,0))*고양시_Modal_split!H$3 * 0.01</f>
        <v>4.9710907740443525E-5</v>
      </c>
      <c r="BW89" s="207">
        <f>INDEX($A$87:$H$100,MATCH($L89,$B$87:$B$100,0),MATCH($BQ$86,$A$87:$H$87,0))*고양시_Modal_split!I$3 * 0.01</f>
        <v>1.3819632351843296E-2</v>
      </c>
      <c r="BX89" s="207">
        <f>INDEX($A$87:$H$100,MATCH($L89,$B$87:$B$100,0),MATCH($BQ$86,$A$87:$H$87,0))*고양시_Modal_split!J$3 * 0.01</f>
        <v>0.15132000316191008</v>
      </c>
      <c r="BY89" s="207">
        <f>INDEX($A$87:$H$100,MATCH($L89,$B$87:$B$100,0),MATCH($BQ$86,$A$87:$H$87,0))*고양시_Modal_split!K$3 * 0.01</f>
        <v>7.4566361610665271E-4</v>
      </c>
      <c r="BZ89" s="207">
        <f>INDEX($A$87:$H$100,MATCH($L89,$B$87:$B$100,0),MATCH($BQ$86,$A$87:$H$87,0))*고양시_Modal_split!L$3 * 0.01</f>
        <v>1.5012694137613943E-2</v>
      </c>
      <c r="CA89" s="207">
        <f>INDEX($A$87:$H$100,MATCH($L89,$B$87:$B$100,0),MATCH($BQ$86,$A$87:$H$87,0))*고양시_Modal_split!M$3 * 0.01</f>
        <v>1.1433508780302009E-3</v>
      </c>
      <c r="CB89" s="207">
        <f>INDEX($A$87:$H$100,MATCH($L89,$B$87:$B$100,0),MATCH($BQ$86,$A$87:$H$87,0))*고양시_Modal_split!N$3 * 0.01</f>
        <v>4.9710907740443521E-4</v>
      </c>
      <c r="CC89" s="207">
        <f>INDEX($A$87:$H$100,MATCH($L89,$B$87:$B$100,0),MATCH($BQ$86,$A$87:$H$87,0))*고양시_Modal_split!O$3 * 0.01</f>
        <v>8.9479633932798325E-4</v>
      </c>
      <c r="CD89" s="207">
        <f>INDEX($A$87:$H$100,MATCH($L89,$B$87:$B$100,0),MATCH($BQ$86,$A$87:$H$87,0))*고양시_Modal_split!P$3 * 0.01</f>
        <v>0.49710907740443516</v>
      </c>
      <c r="CE89" s="304">
        <f t="shared" ref="CE89:CE100" si="69">M89+AA89+AO89+BC89+BQ89</f>
        <v>4.8877986860397113</v>
      </c>
      <c r="CF89" s="304">
        <f t="shared" si="51"/>
        <v>820.9756150158845</v>
      </c>
      <c r="CG89" s="304">
        <f t="shared" si="52"/>
        <v>99.327051869878431</v>
      </c>
      <c r="CH89" s="304">
        <f t="shared" si="53"/>
        <v>160.07540696780057</v>
      </c>
      <c r="CI89" s="304">
        <f t="shared" si="54"/>
        <v>16.059909968416196</v>
      </c>
      <c r="CJ89" s="304">
        <f t="shared" si="55"/>
        <v>0.17456423878713256</v>
      </c>
      <c r="CK89" s="304">
        <f t="shared" si="56"/>
        <v>48.528858382822847</v>
      </c>
      <c r="CL89" s="304">
        <f t="shared" si="57"/>
        <v>531.37354286803156</v>
      </c>
      <c r="CM89" s="304">
        <f t="shared" si="58"/>
        <v>2.6184635818069886</v>
      </c>
      <c r="CN89" s="304">
        <f t="shared" si="59"/>
        <v>52.71840011371404</v>
      </c>
      <c r="CO89" s="304">
        <f t="shared" si="60"/>
        <v>4.0149774921040491</v>
      </c>
      <c r="CP89" s="304">
        <f t="shared" si="61"/>
        <v>1.7456423878713261</v>
      </c>
      <c r="CQ89" s="304">
        <f t="shared" si="62"/>
        <v>3.1421562981683864</v>
      </c>
      <c r="CR89" s="304">
        <f t="shared" si="63"/>
        <v>1745.6423878713258</v>
      </c>
      <c r="CS89" s="305">
        <f t="shared" ref="CS89:CS100" si="70">H89-CR89</f>
        <v>0</v>
      </c>
      <c r="CV89" s="265" t="s">
        <v>605</v>
      </c>
      <c r="CW89" s="265" t="s">
        <v>607</v>
      </c>
      <c r="CX89" s="267">
        <f>INDEX($M$86:$Z$100,MATCH($CW89,$L$86:$L$100,0),MATCH(CX$87,$M$87:$Z$87,0))/INDEX(고양시_재차인원!$D$4:$H$35,MATCH("고양시",고양시_재차인원!$B$4:$B$35,0),MATCH($CX$86,고양시_재차인원!$D$4:$H$4,0))</f>
        <v>84.687625137368741</v>
      </c>
      <c r="CY89" s="267">
        <f>INDEX($M$86:$Z$100,MATCH($CW89,$L$86:$L$100,0),MATCH(CY$87,$M$87:$Z$87,0))/INDEX(고양시_재차인원!$K$4:$O$20,MATCH("경기도",고양시_재차인원!$K$4:$K$20,0),MATCH($CY$87,고양시_재차인원!$K$4:$O$4,0))</f>
        <v>7.0052128125746085E-4</v>
      </c>
      <c r="CZ89" s="267">
        <f>INDEX($M$86:$Z$100,MATCH($CW89,$L$86:$L$100,0),MATCH(CZ$87,$M$87:$Z$87,0))/INDEX(고양시_재차인원!$K$4:$O$20,MATCH("경기도",고양시_재차인원!$K$4:$K$20,0),MATCH($CZ$87,고양시_재차인원!$K$4:$O$4,0))</f>
        <v>0.19474491618957412</v>
      </c>
      <c r="DA89" s="267">
        <f>INDEX($M$86:$Z$100,MATCH($CW89,$L$86:$L$100,0),MATCH(DA$87,$M$87:$Z$87,0))/INDEX(고양시_재차인원!$D$4:$H$35,MATCH("고양시",고양시_재차인원!$B$4:$B$35,0),MATCH($CX$86,고양시_재차인원!$D$4:$H$4,0))</f>
        <v>5.4381592157102618</v>
      </c>
      <c r="DB89" s="267">
        <f>INDEX($AA$86:$AN$100,MATCH($CW89,$L$86:$L$100,0),MATCH(DB$87,$AA$87:$AN$87,0))/INDEX(고양시_재차인원!$D$4:$H$35,MATCH("고양시",고양시_재차인원!$B$4:$B$35,0),MATCH($DB$86,고양시_재차인원!$D$4:$H$4,0))</f>
        <v>486.84387865004169</v>
      </c>
      <c r="DC89" s="267">
        <f>INDEX($AA$86:$AN$100,MATCH($CW89,$L$86:$L$100,0),MATCH(DC$87,$AA$87:$AN$87,0))/INDEX(고양시_재차인원!$K$4:$O$20,MATCH("경기도",고양시_재차인원!$K$4:$K$20,0),MATCH(DC$87,고양시_재차인원!$K$4:$O$4,0))</f>
        <v>5.069815826296376E-3</v>
      </c>
      <c r="DD89" s="267">
        <f>INDEX($AA$86:$AN$100,MATCH($CW89,$L$86:$L$100,0),MATCH(DD$87,$AA$87:$AN$87,0))/INDEX(고양시_재차인원!$K$4:$O$20,MATCH("경기도",고양시_재차인원!$K$4:$K$20,0),MATCH(DD$87,고양시_재차인원!$K$4:$O$4,0))</f>
        <v>1.4094087997103926</v>
      </c>
      <c r="DE89" s="267">
        <f>INDEX($AA$86:$AN$100,MATCH($CW89,$L$86:$L$100,0),MATCH(DE$87,$AA$87:$AN$87,0))/INDEX(고양시_재차인원!$D$4:$H$35,MATCH("고양시",고양시_재차인원!$B$4:$B$35,0),MATCH($DB$86,고양시_재차인원!$D$4:$H$4,0))</f>
        <v>31.262354104255284</v>
      </c>
      <c r="DF89" s="267">
        <f>INDEX($AO$86:$BB$100,MATCH($CW89,$L$86:$L$100,0),MATCH(DF$87,$AO$87:$BB$87,0))/INDEX(고양시_재차인원!$D$4:$H$35,MATCH("고양시",고양시_재차인원!$B$4:$B$35,0),MATCH($DF$86,고양시_재차인원!$D$4:$H$4,0))</f>
        <v>30.292253748068582</v>
      </c>
      <c r="DG89" s="267">
        <f>INDEX($AO$86:$BB$100,MATCH($CW89,$L$86:$L$100,0),MATCH(DG$87,$AO$87:$BB$87,0))/INDEX(고양시_재차인원!$K$4:$O$20,MATCH("경기도",고양시_재차인원!$K$4:$K$20,0),MATCH(DG$87,고양시_재차인원!$K$4:$O$4,0))</f>
        <v>2.9084278510667485E-4</v>
      </c>
      <c r="DH89" s="267">
        <f>INDEX($AO$86:$BB$100,MATCH($CW89,$L$86:$L$100,0),MATCH(DH$87,$AO$87:$BB$87,0))/INDEX(고양시_재차인원!$K$4:$O$20,MATCH("경기도",고양시_재차인원!$K$4:$K$20,0),MATCH(DH$87,고양시_재차인원!$K$4:$O$4,0))</f>
        <v>8.085429425965561E-2</v>
      </c>
      <c r="DI89" s="267">
        <f>INDEX($AO$86:$BB$100,MATCH($CW89,$L$86:$L$100,0),MATCH(DI$87,$AO$87:$BB$87,0))/INDEX(고양시_재차인원!$D$4:$H$35,MATCH("고양시",고양시_재차인원!$B$4:$B$35,0),MATCH($DF$86,고양시_재차인원!$D$4:$H$4,0))</f>
        <v>1.9451968173329177</v>
      </c>
      <c r="DJ89" s="267">
        <f>INDEX($BC$86:$BP$100,MATCH($CW89,$L$86:$L$100,0),MATCH(DJ$87,$BC$87:$BP$87,0))/INDEX(고양시_재차인원!$D$4:$H$35,MATCH("고양시",고양시_재차인원!$B$4:$B$35,0),MATCH($DJ$86,고양시_재차인원!$D$4:$H$4,0))</f>
        <v>4.5504186676681539E-2</v>
      </c>
      <c r="DK89" s="267">
        <f>INDEX($BC$86:$BP$100,MATCH($CW89,$L$86:$L$100,0),MATCH(DK$87,$BC$87:$BP$87,0))/INDEX(고양시_재차인원!$K$4:$O$20,MATCH("경기도",고양시_재차인원!$K$4:$K$20,0),MATCH(DK$87,고양시_재차인원!$K$4:$O$4,0))</f>
        <v>4.5706042709273238E-7</v>
      </c>
      <c r="DL89" s="267">
        <f>INDEX($BC$86:$BP$100,MATCH($CW89,$L$86:$L$100,0),MATCH(DL$87,$BC$87:$BP$87,0))/INDEX(고양시_재차인원!$K$4:$O$20,MATCH("경기도",고양시_재차인원!$K$4:$K$20,0),MATCH(DL$87,고양시_재차인원!$K$4:$O$4,0))</f>
        <v>1.2706279873177958E-4</v>
      </c>
      <c r="DM89" s="267">
        <f>INDEX($BC$86:$BP$100,MATCH($CW89,$L$86:$L$100,0),MATCH(DM$87,$BC$87:$BP$87,0))/INDEX(고양시_재차인원!$D$4:$H$35,MATCH("고양시",고양시_재차인원!$B$4:$B$35,0),MATCH($DJ$86,고양시_재차인원!$D$4:$H$4,0))</f>
        <v>2.9220209177881831E-3</v>
      </c>
      <c r="DN89" s="267">
        <f>INDEX($BQ$86:$CD$100,MATCH($CW89,$L$86:$L$100,0),MATCH(DN$87,$BQ$87:$CD$87,0))/INDEX(고양시_재차인원!$D$4:$H$35,MATCH("고양시",고양시_재차인원!$B$4:$B$35,0),MATCH($DN$86,고양시_재차인원!$D$4:$H$4,0))</f>
        <v>0.18554793579627449</v>
      </c>
      <c r="DO89" s="267">
        <f>INDEX($BQ$86:$CD$100,MATCH($CW89,$L$86:$L$100,0),MATCH(DO$87,$BQ$87:$CD$87,0))/INDEX(고양시_재차인원!$K$4:$O$20,MATCH("경기도",고양시_재차인원!$K$4:$K$20,0),MATCH(DO$87,고양시_재차인원!$K$4:$O$4,0))</f>
        <v>1.7266727245725435E-6</v>
      </c>
      <c r="DP89" s="267">
        <f>INDEX($BQ$86:$CD$100,MATCH($CW89,$L$86:$L$100,0),MATCH(DP$87,$BQ$87:$CD$87,0))/INDEX(고양시_재차인원!$K$4:$O$20,MATCH("경기도",고양시_재차인원!$K$4:$K$20,0),MATCH(DP$87,고양시_재차인원!$K$4:$O$4,0))</f>
        <v>4.8001501743116695E-4</v>
      </c>
      <c r="DQ89" s="267">
        <f>INDEX($BQ$86:$CD$100,MATCH($CW89,$L$86:$L$100,0),MATCH(DQ$87,$BQ$87:$CD$87,0))/INDEX(고양시_재차인원!$D$4:$H$35,MATCH("고양시",고양시_재차인원!$B$4:$B$35,0),MATCH($DN$86,고양시_재차인원!$D$4:$H$4,0))</f>
        <v>1.1914836617153923E-2</v>
      </c>
      <c r="DR89" s="270">
        <f t="shared" ref="DR89:DR100" si="71">CX89+DB89+DF89+DJ89+DN89</f>
        <v>602.05480965795198</v>
      </c>
      <c r="DS89" s="270">
        <f t="shared" si="64"/>
        <v>6.0633636258121768E-3</v>
      </c>
      <c r="DT89" s="270">
        <f t="shared" si="65"/>
        <v>1.685615087975785</v>
      </c>
      <c r="DU89" s="270">
        <f t="shared" si="66"/>
        <v>38.660546994833403</v>
      </c>
      <c r="DW89" s="278" t="s">
        <v>605</v>
      </c>
      <c r="DX89" s="278" t="s">
        <v>607</v>
      </c>
      <c r="DY89" s="281">
        <f t="shared" ref="DY89:DY100" si="72">DR89+DU89</f>
        <v>640.71535665278543</v>
      </c>
      <c r="DZ89" s="281">
        <f t="shared" ref="DZ89:DZ100" si="73">DS89+DT89</f>
        <v>1.6916784516015972</v>
      </c>
      <c r="EB89" s="278" t="s">
        <v>622</v>
      </c>
      <c r="EC89" s="278" t="s">
        <v>607</v>
      </c>
      <c r="ED89" s="309">
        <f t="shared" ref="ED89:ED91" si="74">DY89+DY$94*($EN91/SUM($EN$90:$EN$93))</f>
        <v>752.38588419132873</v>
      </c>
      <c r="EE89" s="309">
        <f t="shared" si="67"/>
        <v>1.9865217437974334</v>
      </c>
      <c r="EK89" s="420" t="s">
        <v>12</v>
      </c>
      <c r="EL89" s="420" t="s">
        <v>12</v>
      </c>
      <c r="EM89" s="420" t="s">
        <v>610</v>
      </c>
      <c r="EN89" s="420">
        <v>15857.7047</v>
      </c>
      <c r="EO89" s="420">
        <v>0.5264012731380332</v>
      </c>
      <c r="EP89" s="421">
        <v>849002</v>
      </c>
      <c r="EQ89" s="422">
        <f t="shared" ref="EQ89:EQ107" si="75">VLOOKUP($EL89,$EC$88:$EE$99,2,FALSE)*$EO89 * $CW$9*(1-$DA$5)</f>
        <v>33.948142058148754</v>
      </c>
      <c r="ER89" s="422">
        <f t="shared" ref="ER89:ER107" si="76">VLOOKUP($EL89,$EC$88:$EE$99,3,FALSE)*$EO89* $CW$9*(1-$DA$5)</f>
        <v>8.9633157369134325E-2</v>
      </c>
      <c r="ES89">
        <v>0</v>
      </c>
      <c r="EU89" s="306" t="s">
        <v>12</v>
      </c>
      <c r="EV89" s="306" t="s">
        <v>12</v>
      </c>
      <c r="EW89" s="306" t="s">
        <v>610</v>
      </c>
      <c r="EX89" s="306">
        <v>15857.7047</v>
      </c>
      <c r="EY89" s="306">
        <v>0.5264012731380332</v>
      </c>
      <c r="EZ89" s="307">
        <v>849002</v>
      </c>
      <c r="FA89" s="308">
        <f t="shared" ref="FA89:FA107" si="77">EQ89*$EG$55</f>
        <v>33.948142058148754</v>
      </c>
      <c r="FB89" s="308">
        <f t="shared" si="68"/>
        <v>8.9633157369134325E-2</v>
      </c>
      <c r="FD89" s="101"/>
      <c r="FE89" s="101"/>
      <c r="FF89" s="101"/>
      <c r="FG89" s="101"/>
      <c r="FH89" s="101"/>
      <c r="FI89" s="374"/>
      <c r="FJ89" s="404"/>
      <c r="FK89" s="404"/>
    </row>
    <row r="90" spans="1:167">
      <c r="A90" s="205" t="s">
        <v>605</v>
      </c>
      <c r="B90" s="205" t="s">
        <v>608</v>
      </c>
      <c r="C90" s="201">
        <f>$K31*KTDB_TripDistribution_2045!T$12</f>
        <v>165.26945485780098</v>
      </c>
      <c r="D90" s="201">
        <f>$K31*KTDB_TripDistribution_2045!U$12</f>
        <v>1196.0888559122986</v>
      </c>
      <c r="E90" s="201">
        <f>$K31*KTDB_TripDistribution_2045!V$12</f>
        <v>68.616657095159127</v>
      </c>
      <c r="F90" s="201">
        <f>$K31*KTDB_TripDistribution_2045!W$12</f>
        <v>0.10783131025954833</v>
      </c>
      <c r="G90" s="201">
        <f>$K31*KTDB_TripDistribution_2045!X$12</f>
        <v>0.40736272764718229</v>
      </c>
      <c r="H90" s="201">
        <f>$K31*KTDB_TripDistribution_2045!Y$12</f>
        <v>1430.4901619031655</v>
      </c>
      <c r="J90" s="230">
        <f t="shared" si="50"/>
        <v>1430.4901619031655</v>
      </c>
      <c r="K90" s="206" t="s">
        <v>605</v>
      </c>
      <c r="L90" s="206" t="s">
        <v>608</v>
      </c>
      <c r="M90" s="206">
        <f>INDEX($A$87:$H$100,MATCH($L90,$B$87:$B$100,0),MATCH($M$86,$A$87:$H$87,0))*고양시_Modal_split!C$3 * 0.01</f>
        <v>0.46275447360184269</v>
      </c>
      <c r="N90" s="206">
        <f>INDEX($A$87:$H$100,MATCH($L90,$B$87:$B$100,0),MATCH($M$86,$A$87:$H$87,0))*고양시_Modal_split!D$3 * 0.01</f>
        <v>77.726224619623807</v>
      </c>
      <c r="O90" s="206">
        <f>INDEX($A$87:$H$100,MATCH($L90,$B$87:$B$100,0),MATCH($M$86,$A$87:$H$87,0))*고양시_Modal_split!E$3 * 0.01</f>
        <v>9.4038319814088762</v>
      </c>
      <c r="P90" s="206">
        <f>INDEX($A$87:$H$100,MATCH($L90,$B$87:$B$100,0),MATCH($M$86,$A$87:$H$87,0))*고양시_Modal_split!F$3 * 0.01</f>
        <v>15.155209010460352</v>
      </c>
      <c r="Q90" s="206">
        <f>INDEX($A$87:$H$100,MATCH($L90,$B$87:$B$100,0),MATCH($M$86,$A$87:$H$87,0))*고양시_Modal_split!G$3 * 0.01</f>
        <v>1.5204789846917688</v>
      </c>
      <c r="R90" s="206">
        <f>INDEX($A$87:$H$100,MATCH($L90,$B$87:$B$100,0),MATCH($M$86,$A$87:$H$87,0))*고양시_Modal_split!H$3 * 0.01</f>
        <v>1.6526945485780098E-2</v>
      </c>
      <c r="S90" s="206">
        <f>INDEX($A$87:$H$100,MATCH($L90,$B$87:$B$100,0),MATCH($M$86,$A$87:$H$87,0))*고양시_Modal_split!I$3 * 0.01</f>
        <v>4.5944908450468676</v>
      </c>
      <c r="T90" s="206">
        <f>INDEX($A$87:$H$100,MATCH($L90,$B$87:$B$100,0),MATCH($M$86,$A$87:$H$87,0))*고양시_Modal_split!J$3 * 0.01</f>
        <v>50.308022058714627</v>
      </c>
      <c r="U90" s="206">
        <f>INDEX($A$87:$H$100,MATCH($L90,$B$87:$B$100,0),MATCH($M$86,$A$87:$H$87,0))*고양시_Modal_split!K$3 * 0.01</f>
        <v>0.24790418228670144</v>
      </c>
      <c r="V90" s="206">
        <f>INDEX($A$87:$H$100,MATCH($L90,$B$87:$B$100,0),MATCH($M$86,$A$87:$H$87,0))*고양시_Modal_split!L$3 * 0.01</f>
        <v>4.9911375367055895</v>
      </c>
      <c r="W90" s="206">
        <f>INDEX($A$87:$H$100,MATCH($L90,$B$87:$B$100,0),MATCH($M$86,$A$87:$H$87,0))*고양시_Modal_split!M$3 * 0.01</f>
        <v>0.3801197461729422</v>
      </c>
      <c r="X90" s="206">
        <f>INDEX($A$87:$H$100,MATCH($L90,$B$87:$B$100,0),MATCH($M$86,$A$87:$H$87,0))*고양시_Modal_split!N$3 * 0.01</f>
        <v>0.16526945485780101</v>
      </c>
      <c r="Y90" s="206">
        <f>INDEX($A$87:$H$100,MATCH($L90,$B$87:$B$100,0),MATCH($M$86,$A$87:$H$87,0))*고양시_Modal_split!O$3 * 0.01</f>
        <v>0.29748501874404176</v>
      </c>
      <c r="Z90" s="209">
        <f>INDEX($A$87:$H$100,MATCH($L90,$B$87:$B$100,0),MATCH($M$86,$A$87:$H$87,0))*고양시_Modal_split!P$3 * 0.01</f>
        <v>165.26945485780101</v>
      </c>
      <c r="AA90" s="207">
        <f>INDEX($A$87:$H$100,MATCH($L90,$B$87:$B$100,0),MATCH($AA$86,$A$87:$H$87,0))*고양시_Modal_split!C$3 * 0.01</f>
        <v>3.349048796554436</v>
      </c>
      <c r="AB90" s="207">
        <f>INDEX($A$87:$H$100,MATCH($L90,$B$87:$B$100,0),MATCH($AA$86,$A$87:$H$87,0))*고양시_Modal_split!D$3 * 0.01</f>
        <v>562.52058893555409</v>
      </c>
      <c r="AC90" s="207">
        <f>INDEX($A$87:$H$100,MATCH($L90,$B$87:$B$100,0),MATCH($AA$86,$A$87:$H$87,0))*고양시_Modal_split!E$3 * 0.01</f>
        <v>68.057455901409782</v>
      </c>
      <c r="AD90" s="207">
        <f>INDEX($A$87:$H$100,MATCH($L90,$B$87:$B$100,0),MATCH($AA$86,$A$87:$H$87,0))*고양시_Modal_split!F$3 * 0.01</f>
        <v>109.68134808715779</v>
      </c>
      <c r="AE90" s="207">
        <f>INDEX($A$87:$H$100,MATCH($L90,$B$87:$B$100,0),MATCH($AA$86,$A$87:$H$87,0))*고양시_Modal_split!G$3 * 0.01</f>
        <v>11.004017474393148</v>
      </c>
      <c r="AF90" s="207">
        <f>INDEX($A$87:$H$100,MATCH($L90,$B$87:$B$100,0),MATCH($AA$86,$A$87:$H$87,0))*고양시_Modal_split!H$3 * 0.01</f>
        <v>0.11960888559122987</v>
      </c>
      <c r="AG90" s="207">
        <f>INDEX($A$87:$H$100,MATCH($L90,$B$87:$B$100,0),MATCH($AA$86,$A$87:$H$87,0))*고양시_Modal_split!I$3 * 0.01</f>
        <v>33.251270194361901</v>
      </c>
      <c r="AH90" s="207">
        <f>INDEX($A$87:$H$100,MATCH($L90,$B$87:$B$100,0),MATCH($AA$86,$A$87:$H$87,0))*고양시_Modal_split!J$3 * 0.01</f>
        <v>364.08944773970376</v>
      </c>
      <c r="AI90" s="207">
        <f>INDEX($A$87:$H$100,MATCH($L90,$B$87:$B$100,0),MATCH($AA$86,$A$87:$H$87,0))*고양시_Modal_split!K$3 * 0.01</f>
        <v>1.7941332838684481</v>
      </c>
      <c r="AJ90" s="207">
        <f>INDEX($A$87:$H$100,MATCH($L90,$B$87:$B$100,0),MATCH($AA$86,$A$87:$H$87,0))*고양시_Modal_split!L$3 * 0.01</f>
        <v>36.121883448551422</v>
      </c>
      <c r="AK90" s="207">
        <f>INDEX($A$87:$H$100,MATCH($L90,$B$87:$B$100,0),MATCH($AA$86,$A$87:$H$87,0))*고양시_Modal_split!M$3 * 0.01</f>
        <v>2.751004368598287</v>
      </c>
      <c r="AL90" s="207">
        <f>INDEX($A$87:$H$100,MATCH($L90,$B$87:$B$100,0),MATCH($AA$86,$A$87:$H$87,0))*고양시_Modal_split!N$3 * 0.01</f>
        <v>1.1960888559122986</v>
      </c>
      <c r="AM90" s="207">
        <f>INDEX($A$87:$H$100,MATCH($L90,$B$87:$B$100,0),MATCH($AA$86,$A$87:$H$87,0))*고양시_Modal_split!O$3 * 0.01</f>
        <v>2.1529599406421376</v>
      </c>
      <c r="AN90" s="207">
        <f>INDEX($A$87:$H$100,MATCH($L90,$B$87:$B$100,0),MATCH($AA$86,$A$87:$H$87,0))*고양시_Modal_split!P$3 * 0.01</f>
        <v>1196.0888559122986</v>
      </c>
      <c r="AO90" s="303">
        <f>INDEX($A$87:$H$100,MATCH($L90,$B$87:$B$100,0),MATCH($AO$86,$A$87:$H$87,0))*고양시_Modal_split!C$3 * 0.01</f>
        <v>0.19212663986644554</v>
      </c>
      <c r="AP90" s="303">
        <f>INDEX($A$87:$H$100,MATCH($L90,$B$87:$B$100,0),MATCH($AO$86,$A$87:$H$87,0))*고양시_Modal_split!D$3 * 0.01</f>
        <v>32.27041383185334</v>
      </c>
      <c r="AQ90" s="303">
        <f>INDEX($A$87:$H$100,MATCH($L90,$B$87:$B$100,0),MATCH($AO$86,$A$87:$H$87,0))*고양시_Modal_split!E$3 * 0.01</f>
        <v>3.9042877887145542</v>
      </c>
      <c r="AR90" s="303">
        <f>INDEX($A$87:$H$100,MATCH($L90,$B$87:$B$100,0),MATCH($AO$86,$A$87:$H$87,0))*고양시_Modal_split!F$3 * 0.01</f>
        <v>6.2921474556260923</v>
      </c>
      <c r="AS90" s="303">
        <f>INDEX($A$87:$H$100,MATCH($L90,$B$87:$B$100,0),MATCH($AO$86,$A$87:$H$87,0))*고양시_Modal_split!G$3 * 0.01</f>
        <v>0.63127324527546391</v>
      </c>
      <c r="AT90" s="303">
        <f>INDEX($A$87:$H$100,MATCH($L90,$B$87:$B$100,0),MATCH($AO$86,$A$87:$H$87,0))*고양시_Modal_split!H$3 * 0.01</f>
        <v>6.8616657095159133E-3</v>
      </c>
      <c r="AU90" s="303">
        <f>INDEX($A$87:$H$100,MATCH($L90,$B$87:$B$100,0),MATCH($AO$86,$A$87:$H$87,0))*고양시_Modal_split!I$3 * 0.01</f>
        <v>1.9075430672454234</v>
      </c>
      <c r="AV90" s="303">
        <f>INDEX($A$87:$H$100,MATCH($L90,$B$87:$B$100,0),MATCH($AO$86,$A$87:$H$87,0))*고양시_Modal_split!J$3 * 0.01</f>
        <v>20.886910419766441</v>
      </c>
      <c r="AW90" s="303">
        <f>INDEX($A$87:$H$100,MATCH($L90,$B$87:$B$100,0),MATCH($AO$86,$A$87:$H$87,0))*고양시_Modal_split!K$3 * 0.01</f>
        <v>0.10292498564273869</v>
      </c>
      <c r="AX90" s="303">
        <f>INDEX($A$87:$H$100,MATCH($L90,$B$87:$B$100,0),MATCH($AO$86,$A$87:$H$87,0))*고양시_Modal_split!L$3 * 0.01</f>
        <v>2.0722230442738057</v>
      </c>
      <c r="AY90" s="303">
        <f>INDEX($A$87:$H$100,MATCH($L90,$B$87:$B$100,0),MATCH($AO$86,$A$87:$H$87,0))*고양시_Modal_split!M$3 * 0.01</f>
        <v>0.15781831131886598</v>
      </c>
      <c r="AZ90" s="303">
        <f>INDEX($A$87:$H$100,MATCH($L90,$B$87:$B$100,0),MATCH($AO$86,$A$87:$H$87,0))*고양시_Modal_split!N$3 * 0.01</f>
        <v>6.8616657095159128E-2</v>
      </c>
      <c r="BA90" s="207">
        <f>INDEX($A$87:$H$100,MATCH($L90,$B$87:$B$100,0),MATCH($AO$86,$A$87:$H$87,0))*고양시_Modal_split!O$3 * 0.01</f>
        <v>0.12350998277128643</v>
      </c>
      <c r="BB90" s="207">
        <f>INDEX($A$87:$H$100,MATCH($L90,$B$87:$B$100,0),MATCH($AO$86,$A$87:$H$87,0))*고양시_Modal_split!P$3 * 0.01</f>
        <v>68.616657095159127</v>
      </c>
      <c r="BC90" s="207">
        <f>INDEX($A$87:$H$100,MATCH($L90,$B$87:$B$100,0),MATCH($BC$86,$A$87:$H$87,0))*고양시_Modal_split!C$3 * 0.01</f>
        <v>3.0192766872673529E-4</v>
      </c>
      <c r="BD90" s="207">
        <f>INDEX($A$87:$H$100,MATCH($L90,$B$87:$B$100,0),MATCH($BC$86,$A$87:$H$87,0))*고양시_Modal_split!D$3 * 0.01</f>
        <v>5.0713065215065578E-2</v>
      </c>
      <c r="BE90" s="207">
        <f>INDEX($A$87:$H$100,MATCH($L90,$B$87:$B$100,0),MATCH($BC$86,$A$87:$H$87,0))*고양시_Modal_split!E$3 * 0.01</f>
        <v>6.1356015537682995E-3</v>
      </c>
      <c r="BF90" s="207">
        <f>INDEX($A$87:$H$100,MATCH($L90,$B$87:$B$100,0),MATCH($BC$86,$A$87:$H$87,0))*고양시_Modal_split!F$3 * 0.01</f>
        <v>9.8881311508005817E-3</v>
      </c>
      <c r="BG90" s="207">
        <f>INDEX($A$87:$H$100,MATCH($L90,$B$87:$B$100,0),MATCH($BC$86,$A$87:$H$87,0))*고양시_Modal_split!G$3 * 0.01</f>
        <v>9.9204805438784442E-4</v>
      </c>
      <c r="BH90" s="207">
        <f>INDEX($A$87:$H$100,MATCH($L90,$B$87:$B$100,0),MATCH($BC$86,$A$87:$H$87,0))*고양시_Modal_split!H$3 * 0.01</f>
        <v>1.0783131025954834E-5</v>
      </c>
      <c r="BI90" s="207">
        <f>INDEX($A$87:$H$100,MATCH($L90,$B$87:$B$100,0),MATCH($BC$86,$A$87:$H$87,0))*고양시_Modal_split!I$3 * 0.01</f>
        <v>2.9977104252154434E-3</v>
      </c>
      <c r="BJ90" s="207">
        <f>INDEX($A$87:$H$100,MATCH($L90,$B$87:$B$100,0),MATCH($BC$86,$A$87:$H$87,0))*고양시_Modal_split!J$3 * 0.01</f>
        <v>3.2823850843006513E-2</v>
      </c>
      <c r="BK90" s="207">
        <f>INDEX($A$87:$H$100,MATCH($L90,$B$87:$B$100,0),MATCH($BC$86,$A$87:$H$87,0))*고양시_Modal_split!K$3 * 0.01</f>
        <v>1.6174696538932248E-4</v>
      </c>
      <c r="BL90" s="207">
        <f>INDEX($A$87:$H$100,MATCH($L90,$B$87:$B$100,0),MATCH($BC$86,$A$87:$H$87,0))*고양시_Modal_split!L$3 * 0.01</f>
        <v>3.2565055698383595E-3</v>
      </c>
      <c r="BM90" s="207">
        <f>INDEX($A$87:$H$100,MATCH($L90,$B$87:$B$100,0),MATCH($BC$86,$A$87:$H$87,0))*고양시_Modal_split!M$3 * 0.01</f>
        <v>2.4801201359696111E-4</v>
      </c>
      <c r="BN90" s="207">
        <f>INDEX($A$87:$H$100,MATCH($L90,$B$87:$B$100,0),MATCH($BC$86,$A$87:$H$87,0))*고양시_Modal_split!N$3 * 0.01</f>
        <v>1.0783131025954834E-4</v>
      </c>
      <c r="BO90" s="207">
        <f>INDEX($A$87:$H$100,MATCH($L90,$B$87:$B$100,0),MATCH($BC$86,$A$87:$H$87,0))*고양시_Modal_split!O$3 * 0.01</f>
        <v>1.9409635846718697E-4</v>
      </c>
      <c r="BP90" s="207">
        <f>INDEX($A$87:$H$100,MATCH($L90,$B$87:$B$100,0),MATCH($BC$86,$A$87:$H$87,0))*고양시_Modal_split!P$3 * 0.01</f>
        <v>0.10783131025954833</v>
      </c>
      <c r="BQ90" s="207">
        <f>INDEX($A$87:$H$100,MATCH($L90,$B$87:$B$100,0),MATCH($BQ$86,$A$87:$H$87,0))*고양시_Modal_split!C$3 * 0.01</f>
        <v>1.1406156374121103E-3</v>
      </c>
      <c r="BR90" s="207">
        <f>INDEX($A$87:$H$100,MATCH($L90,$B$87:$B$100,0),MATCH($BQ$86,$A$87:$H$87,0))*고양시_Modal_split!D$3 * 0.01</f>
        <v>0.19158269081246984</v>
      </c>
      <c r="BS90" s="207">
        <f>INDEX($A$87:$H$100,MATCH($L90,$B$87:$B$100,0),MATCH($BQ$86,$A$87:$H$87,0))*고양시_Modal_split!E$3 * 0.01</f>
        <v>2.3178939203124669E-2</v>
      </c>
      <c r="BT90" s="207">
        <f>INDEX($A$87:$H$100,MATCH($L90,$B$87:$B$100,0),MATCH($BQ$86,$A$87:$H$87,0))*고양시_Modal_split!F$3 * 0.01</f>
        <v>3.7355162125246616E-2</v>
      </c>
      <c r="BU90" s="207">
        <f>INDEX($A$87:$H$100,MATCH($L90,$B$87:$B$100,0),MATCH($BQ$86,$A$87:$H$87,0))*고양시_Modal_split!G$3 * 0.01</f>
        <v>3.7477370943540768E-3</v>
      </c>
      <c r="BV90" s="207">
        <f>INDEX($A$87:$H$100,MATCH($L90,$B$87:$B$100,0),MATCH($BQ$86,$A$87:$H$87,0))*고양시_Modal_split!H$3 * 0.01</f>
        <v>4.0736272764718226E-5</v>
      </c>
      <c r="BW90" s="207">
        <f>INDEX($A$87:$H$100,MATCH($L90,$B$87:$B$100,0),MATCH($BQ$86,$A$87:$H$87,0))*고양시_Modal_split!I$3 * 0.01</f>
        <v>1.1324683828591666E-2</v>
      </c>
      <c r="BX90" s="207">
        <f>INDEX($A$87:$H$100,MATCH($L90,$B$87:$B$100,0),MATCH($BQ$86,$A$87:$H$87,0))*고양시_Modal_split!J$3 * 0.01</f>
        <v>0.1240012142958023</v>
      </c>
      <c r="BY90" s="207">
        <f>INDEX($A$87:$H$100,MATCH($L90,$B$87:$B$100,0),MATCH($BQ$86,$A$87:$H$87,0))*고양시_Modal_split!K$3 * 0.01</f>
        <v>6.1104409147077338E-4</v>
      </c>
      <c r="BZ90" s="207">
        <f>INDEX($A$87:$H$100,MATCH($L90,$B$87:$B$100,0),MATCH($BQ$86,$A$87:$H$87,0))*고양시_Modal_split!L$3 * 0.01</f>
        <v>1.2302354374944906E-2</v>
      </c>
      <c r="CA90" s="207">
        <f>INDEX($A$87:$H$100,MATCH($L90,$B$87:$B$100,0),MATCH($BQ$86,$A$87:$H$87,0))*고양시_Modal_split!M$3 * 0.01</f>
        <v>9.3693427358851919E-4</v>
      </c>
      <c r="CB90" s="207">
        <f>INDEX($A$87:$H$100,MATCH($L90,$B$87:$B$100,0),MATCH($BQ$86,$A$87:$H$87,0))*고양시_Modal_split!N$3 * 0.01</f>
        <v>4.0736272764718229E-4</v>
      </c>
      <c r="CC90" s="207">
        <f>INDEX($A$87:$H$100,MATCH($L90,$B$87:$B$100,0),MATCH($BQ$86,$A$87:$H$87,0))*고양시_Modal_split!O$3 * 0.01</f>
        <v>7.332529097649281E-4</v>
      </c>
      <c r="CD90" s="207">
        <f>INDEX($A$87:$H$100,MATCH($L90,$B$87:$B$100,0),MATCH($BQ$86,$A$87:$H$87,0))*고양시_Modal_split!P$3 * 0.01</f>
        <v>0.40736272764718229</v>
      </c>
      <c r="CE90" s="304">
        <f t="shared" si="69"/>
        <v>4.0053724533288637</v>
      </c>
      <c r="CF90" s="304">
        <f t="shared" si="51"/>
        <v>672.7595231430588</v>
      </c>
      <c r="CG90" s="304">
        <f t="shared" si="52"/>
        <v>81.394890212290093</v>
      </c>
      <c r="CH90" s="304">
        <f t="shared" si="53"/>
        <v>131.17594784652027</v>
      </c>
      <c r="CI90" s="304">
        <f t="shared" si="54"/>
        <v>13.160509489509122</v>
      </c>
      <c r="CJ90" s="304">
        <f t="shared" si="55"/>
        <v>0.14304901619031654</v>
      </c>
      <c r="CK90" s="304">
        <f t="shared" si="56"/>
        <v>39.767626500907994</v>
      </c>
      <c r="CL90" s="304">
        <f t="shared" si="57"/>
        <v>435.4412052833236</v>
      </c>
      <c r="CM90" s="304">
        <f t="shared" si="58"/>
        <v>2.1457352428547485</v>
      </c>
      <c r="CN90" s="304">
        <f t="shared" si="59"/>
        <v>43.200802889475597</v>
      </c>
      <c r="CO90" s="304">
        <f t="shared" si="60"/>
        <v>3.2901273723772806</v>
      </c>
      <c r="CP90" s="304">
        <f t="shared" si="61"/>
        <v>1.4304901619031656</v>
      </c>
      <c r="CQ90" s="304">
        <f t="shared" si="62"/>
        <v>2.5748822914256979</v>
      </c>
      <c r="CR90" s="304">
        <f t="shared" si="63"/>
        <v>1430.4901619031655</v>
      </c>
      <c r="CS90" s="305">
        <f t="shared" si="70"/>
        <v>0</v>
      </c>
      <c r="CV90" s="265" t="s">
        <v>605</v>
      </c>
      <c r="CW90" s="265" t="s">
        <v>608</v>
      </c>
      <c r="CX90" s="267">
        <f>INDEX($M$86:$Z$100,MATCH($CW90,$L$86:$L$100,0),MATCH(CX$87,$M$87:$Z$87,0))/INDEX(고양시_재차인원!$D$4:$H$35,MATCH("고양시",고양시_재차인원!$B$4:$B$35,0),MATCH($CX$86,고양시_재차인원!$D$4:$H$4,0))</f>
        <v>69.398414838949819</v>
      </c>
      <c r="CY90" s="267">
        <f>INDEX($M$86:$Z$100,MATCH($CW90,$L$86:$L$100,0),MATCH(CY$87,$M$87:$Z$87,0))/INDEX(고양시_재차인원!$K$4:$O$20,MATCH("경기도",고양시_재차인원!$K$4:$K$20,0),MATCH($CY$87,고양시_재차인원!$K$4:$O$4,0))</f>
        <v>5.740515972830878E-4</v>
      </c>
      <c r="CZ90" s="267">
        <f>INDEX($M$86:$Z$100,MATCH($CW90,$L$86:$L$100,0),MATCH(CZ$87,$M$87:$Z$87,0))/INDEX(고양시_재차인원!$K$4:$O$20,MATCH("경기도",고양시_재차인원!$K$4:$K$20,0),MATCH($CZ$87,고양시_재차인원!$K$4:$O$4,0))</f>
        <v>0.15958634404469843</v>
      </c>
      <c r="DA90" s="267">
        <f>INDEX($M$86:$Z$100,MATCH($CW90,$L$86:$L$100,0),MATCH(DA$87,$M$87:$Z$87,0))/INDEX(고양시_재차인원!$D$4:$H$35,MATCH("고양시",고양시_재차인원!$B$4:$B$35,0),MATCH($CX$86,고양시_재차인원!$D$4:$H$4,0))</f>
        <v>4.4563728006299899</v>
      </c>
      <c r="DB90" s="267">
        <f>INDEX($AA$86:$AN$100,MATCH($CW90,$L$86:$L$100,0),MATCH(DB$87,$AA$87:$AN$87,0))/INDEX(고양시_재차인원!$D$4:$H$35,MATCH("고양시",고양시_재차인원!$B$4:$B$35,0),MATCH($DB$86,고양시_재차인원!$D$4:$H$4,0))</f>
        <v>398.95077229471923</v>
      </c>
      <c r="DC90" s="267">
        <f>INDEX($AA$86:$AN$100,MATCH($CW90,$L$86:$L$100,0),MATCH(DC$87,$AA$87:$AN$87,0))/INDEX(고양시_재차인원!$K$4:$O$20,MATCH("경기도",고양시_재차인원!$K$4:$K$20,0),MATCH(DC$87,고양시_재차인원!$K$4:$O$4,0))</f>
        <v>4.1545288499906172E-3</v>
      </c>
      <c r="DD90" s="267">
        <f>INDEX($AA$86:$AN$100,MATCH($CW90,$L$86:$L$100,0),MATCH(DD$87,$AA$87:$AN$87,0))/INDEX(고양시_재차인원!$K$4:$O$20,MATCH("경기도",고양시_재차인원!$K$4:$K$20,0),MATCH(DD$87,고양시_재차인원!$K$4:$O$4,0))</f>
        <v>1.1549590202973916</v>
      </c>
      <c r="DE90" s="267">
        <f>INDEX($AA$86:$AN$100,MATCH($CW90,$L$86:$L$100,0),MATCH(DE$87,$AA$87:$AN$87,0))/INDEX(고양시_재차인원!$D$4:$H$35,MATCH("고양시",고양시_재차인원!$B$4:$B$35,0),MATCH($DB$86,고양시_재차인원!$D$4:$H$4,0))</f>
        <v>25.618357055710231</v>
      </c>
      <c r="DF90" s="267">
        <f>INDEX($AO$86:$BB$100,MATCH($CW90,$L$86:$L$100,0),MATCH(DF$87,$AO$87:$BB$87,0))/INDEX(고양시_재차인원!$D$4:$H$35,MATCH("고양시",고양시_재차인원!$B$4:$B$35,0),MATCH($DF$86,고양시_재차인원!$D$4:$H$4,0))</f>
        <v>24.823395255271798</v>
      </c>
      <c r="DG90" s="267">
        <f>INDEX($AO$86:$BB$100,MATCH($CW90,$L$86:$L$100,0),MATCH(DG$87,$AO$87:$BB$87,0))/INDEX(고양시_재차인원!$K$4:$O$20,MATCH("경기도",고양시_재차인원!$K$4:$K$20,0),MATCH(DG$87,고양시_재차인원!$K$4:$O$4,0))</f>
        <v>2.3833503680152532E-4</v>
      </c>
      <c r="DH90" s="267">
        <f>INDEX($AO$86:$BB$100,MATCH($CW90,$L$86:$L$100,0),MATCH(DH$87,$AO$87:$BB$87,0))/INDEX(고양시_재차인원!$K$4:$O$20,MATCH("경기도",고양시_재차인원!$K$4:$K$20,0),MATCH(DH$87,고양시_재차인원!$K$4:$O$4,0))</f>
        <v>6.6257140230824019E-2</v>
      </c>
      <c r="DI90" s="267">
        <f>INDEX($AO$86:$BB$100,MATCH($CW90,$L$86:$L$100,0),MATCH(DI$87,$AO$87:$BB$87,0))/INDEX(고양시_재차인원!$D$4:$H$35,MATCH("고양시",고양시_재차인원!$B$4:$B$35,0),MATCH($DF$86,고양시_재차인원!$D$4:$H$4,0))</f>
        <v>1.5940177263644659</v>
      </c>
      <c r="DJ90" s="267">
        <f>INDEX($BC$86:$BP$100,MATCH($CW90,$L$86:$L$100,0),MATCH(DJ$87,$BC$87:$BP$87,0))/INDEX(고양시_재차인원!$D$4:$H$35,MATCH("고양시",고양시_재차인원!$B$4:$B$35,0),MATCH($DJ$86,고양시_재차인원!$D$4:$H$4,0))</f>
        <v>3.728901854048939E-2</v>
      </c>
      <c r="DK90" s="267">
        <f>INDEX($BC$86:$BP$100,MATCH($CW90,$L$86:$L$100,0),MATCH(DK$87,$BC$87:$BP$87,0))/INDEX(고양시_재차인원!$K$4:$O$20,MATCH("경기도",고양시_재차인원!$K$4:$K$20,0),MATCH(DK$87,고양시_재차인원!$K$4:$O$4,0))</f>
        <v>3.7454432184629504E-7</v>
      </c>
      <c r="DL90" s="267">
        <f>INDEX($BC$86:$BP$100,MATCH($CW90,$L$86:$L$100,0),MATCH(DL$87,$BC$87:$BP$87,0))/INDEX(고양시_재차인원!$K$4:$O$20,MATCH("경기도",고양시_재차인원!$K$4:$K$20,0),MATCH(DL$87,고양시_재차인원!$K$4:$O$4,0))</f>
        <v>1.0412332147327001E-4</v>
      </c>
      <c r="DM90" s="267">
        <f>INDEX($BC$86:$BP$100,MATCH($CW90,$L$86:$L$100,0),MATCH(DM$87,$BC$87:$BP$87,0))/INDEX(고양시_재차인원!$D$4:$H$35,MATCH("고양시",고양시_재차인원!$B$4:$B$35,0),MATCH($DJ$86,고양시_재차인원!$D$4:$H$4,0))</f>
        <v>2.3944893895870289E-3</v>
      </c>
      <c r="DN90" s="267">
        <f>INDEX($BQ$86:$CD$100,MATCH($CW90,$L$86:$L$100,0),MATCH(DN$87,$BQ$87:$CD$87,0))/INDEX(고양시_재차인원!$D$4:$H$35,MATCH("고양시",고양시_재차인원!$B$4:$B$35,0),MATCH($DN$86,고양시_재차인원!$D$4:$H$4,0))</f>
        <v>0.1520497546130713</v>
      </c>
      <c r="DO90" s="267">
        <f>INDEX($BQ$86:$CD$100,MATCH($CW90,$L$86:$L$100,0),MATCH(DO$87,$BQ$87:$CD$87,0))/INDEX(고양시_재차인원!$K$4:$O$20,MATCH("경기도",고양시_재차인원!$K$4:$K$20,0),MATCH(DO$87,고양시_재차인원!$K$4:$O$4,0))</f>
        <v>1.4149452158637801E-6</v>
      </c>
      <c r="DP90" s="267">
        <f>INDEX($BQ$86:$CD$100,MATCH($CW90,$L$86:$L$100,0),MATCH(DP$87,$BQ$87:$CD$87,0))/INDEX(고양시_재차인원!$K$4:$O$20,MATCH("경기도",고양시_재차인원!$K$4:$K$20,0),MATCH(DP$87,고양시_재차인원!$K$4:$O$4,0))</f>
        <v>3.933547700101308E-4</v>
      </c>
      <c r="DQ90" s="267">
        <f>INDEX($BQ$86:$CD$100,MATCH($CW90,$L$86:$L$100,0),MATCH(DQ$87,$BQ$87:$CD$87,0))/INDEX(고양시_재차인원!$D$4:$H$35,MATCH("고양시",고양시_재차인원!$B$4:$B$35,0),MATCH($DN$86,고양시_재차인원!$D$4:$H$4,0))</f>
        <v>9.7637733134483384E-3</v>
      </c>
      <c r="DR90" s="270">
        <f t="shared" si="71"/>
        <v>493.3619211620944</v>
      </c>
      <c r="DS90" s="270">
        <f t="shared" si="64"/>
        <v>4.9687049736129403E-3</v>
      </c>
      <c r="DT90" s="270">
        <f t="shared" si="65"/>
        <v>1.3812999826643977</v>
      </c>
      <c r="DU90" s="270">
        <f t="shared" si="66"/>
        <v>31.680905845407722</v>
      </c>
      <c r="DW90" s="278" t="s">
        <v>605</v>
      </c>
      <c r="DX90" s="278" t="s">
        <v>608</v>
      </c>
      <c r="DY90" s="281">
        <f t="shared" si="72"/>
        <v>525.04282700750218</v>
      </c>
      <c r="DZ90" s="281">
        <f t="shared" si="73"/>
        <v>1.3862686876380106</v>
      </c>
      <c r="EB90" s="278" t="s">
        <v>622</v>
      </c>
      <c r="EC90" s="278" t="s">
        <v>608</v>
      </c>
      <c r="ED90" s="309">
        <f t="shared" si="74"/>
        <v>616.66824786558732</v>
      </c>
      <c r="EE90" s="309">
        <f t="shared" si="67"/>
        <v>1.6281869567650418</v>
      </c>
      <c r="EK90" s="420" t="s">
        <v>622</v>
      </c>
      <c r="EL90" s="420" t="s">
        <v>637</v>
      </c>
      <c r="EM90" s="420" t="s">
        <v>568</v>
      </c>
      <c r="EN90" s="420">
        <v>38657.855799999998</v>
      </c>
      <c r="EO90" s="420">
        <v>1</v>
      </c>
      <c r="EP90" s="421">
        <v>849003</v>
      </c>
      <c r="EQ90" s="422">
        <f t="shared" si="75"/>
        <v>735.36700083086407</v>
      </c>
      <c r="ER90" s="422">
        <f t="shared" si="76"/>
        <v>1.9415868472754809</v>
      </c>
      <c r="ES90">
        <v>0</v>
      </c>
      <c r="EU90" s="306" t="s">
        <v>622</v>
      </c>
      <c r="EV90" s="306" t="s">
        <v>198</v>
      </c>
      <c r="EW90" s="306" t="s">
        <v>568</v>
      </c>
      <c r="EX90" s="306">
        <v>38657.855799999998</v>
      </c>
      <c r="EY90" s="306">
        <v>1</v>
      </c>
      <c r="EZ90" s="307">
        <v>849003</v>
      </c>
      <c r="FA90" s="308">
        <f t="shared" si="77"/>
        <v>735.36700083086407</v>
      </c>
      <c r="FB90" s="308">
        <f t="shared" si="68"/>
        <v>1.9415868472754809</v>
      </c>
      <c r="FD90" s="101"/>
      <c r="FE90" s="101"/>
      <c r="FF90" s="101"/>
      <c r="FG90" s="101"/>
      <c r="FH90" s="101"/>
      <c r="FI90" s="374"/>
      <c r="FJ90" s="404"/>
      <c r="FK90" s="404"/>
    </row>
    <row r="91" spans="1:167">
      <c r="A91" s="205" t="s">
        <v>605</v>
      </c>
      <c r="B91" s="205" t="s">
        <v>609</v>
      </c>
      <c r="C91" s="201">
        <f>$K32*KTDB_TripDistribution_2045!T$12</f>
        <v>168.52487498304779</v>
      </c>
      <c r="D91" s="201">
        <f>$K32*KTDB_TripDistribution_2045!U$12</f>
        <v>1219.6489973581001</v>
      </c>
      <c r="E91" s="201">
        <f>$K32*KTDB_TripDistribution_2045!V$12</f>
        <v>69.968244093657631</v>
      </c>
      <c r="F91" s="201">
        <f>$K32*KTDB_TripDistribution_2045!W$12</f>
        <v>0.10995533382973981</v>
      </c>
      <c r="G91" s="201">
        <f>$K32*KTDB_TripDistribution_2045!X$12</f>
        <v>0.41538681669012784</v>
      </c>
      <c r="H91" s="201">
        <f>$K32*KTDB_TripDistribution_2045!Y$12</f>
        <v>1458.6674585853254</v>
      </c>
      <c r="J91" s="230">
        <f t="shared" si="50"/>
        <v>1458.6674585853254</v>
      </c>
      <c r="K91" s="206" t="s">
        <v>605</v>
      </c>
      <c r="L91" s="206" t="s">
        <v>609</v>
      </c>
      <c r="M91" s="206">
        <f>INDEX($A$87:$H$100,MATCH($L91,$B$87:$B$100,0),MATCH($M$86,$A$87:$H$87,0))*고양시_Modal_split!C$3 * 0.01</f>
        <v>0.47186964995253378</v>
      </c>
      <c r="N91" s="206">
        <f>INDEX($A$87:$H$100,MATCH($L91,$B$87:$B$100,0),MATCH($M$86,$A$87:$H$87,0))*고양시_Modal_split!D$3 * 0.01</f>
        <v>79.257248704527385</v>
      </c>
      <c r="O91" s="206">
        <f>INDEX($A$87:$H$100,MATCH($L91,$B$87:$B$100,0),MATCH($M$86,$A$87:$H$87,0))*고양시_Modal_split!E$3 * 0.01</f>
        <v>9.5890653865354185</v>
      </c>
      <c r="P91" s="206">
        <f>INDEX($A$87:$H$100,MATCH($L91,$B$87:$B$100,0),MATCH($M$86,$A$87:$H$87,0))*고양시_Modal_split!F$3 * 0.01</f>
        <v>15.453731035945482</v>
      </c>
      <c r="Q91" s="206">
        <f>INDEX($A$87:$H$100,MATCH($L91,$B$87:$B$100,0),MATCH($M$86,$A$87:$H$87,0))*고양시_Modal_split!G$3 * 0.01</f>
        <v>1.5504288498440397</v>
      </c>
      <c r="R91" s="206">
        <f>INDEX($A$87:$H$100,MATCH($L91,$B$87:$B$100,0),MATCH($M$86,$A$87:$H$87,0))*고양시_Modal_split!H$3 * 0.01</f>
        <v>1.6852487498304782E-2</v>
      </c>
      <c r="S91" s="206">
        <f>INDEX($A$87:$H$100,MATCH($L91,$B$87:$B$100,0),MATCH($M$86,$A$87:$H$87,0))*고양시_Modal_split!I$3 * 0.01</f>
        <v>4.684991524528729</v>
      </c>
      <c r="T91" s="206">
        <f>INDEX($A$87:$H$100,MATCH($L91,$B$87:$B$100,0),MATCH($M$86,$A$87:$H$87,0))*고양시_Modal_split!J$3 * 0.01</f>
        <v>51.298971944839749</v>
      </c>
      <c r="U91" s="206">
        <f>INDEX($A$87:$H$100,MATCH($L91,$B$87:$B$100,0),MATCH($M$86,$A$87:$H$87,0))*고양시_Modal_split!K$3 * 0.01</f>
        <v>0.2527873124745717</v>
      </c>
      <c r="V91" s="206">
        <f>INDEX($A$87:$H$100,MATCH($L91,$B$87:$B$100,0),MATCH($M$86,$A$87:$H$87,0))*고양시_Modal_split!L$3 * 0.01</f>
        <v>5.0894512244880437</v>
      </c>
      <c r="W91" s="206">
        <f>INDEX($A$87:$H$100,MATCH($L91,$B$87:$B$100,0),MATCH($M$86,$A$87:$H$87,0))*고양시_Modal_split!M$3 * 0.01</f>
        <v>0.38760721246100993</v>
      </c>
      <c r="X91" s="206">
        <f>INDEX($A$87:$H$100,MATCH($L91,$B$87:$B$100,0),MATCH($M$86,$A$87:$H$87,0))*고양시_Modal_split!N$3 * 0.01</f>
        <v>0.1685248749830478</v>
      </c>
      <c r="Y91" s="206">
        <f>INDEX($A$87:$H$100,MATCH($L91,$B$87:$B$100,0),MATCH($M$86,$A$87:$H$87,0))*고양시_Modal_split!O$3 * 0.01</f>
        <v>0.30334477496948603</v>
      </c>
      <c r="Z91" s="209">
        <f>INDEX($A$87:$H$100,MATCH($L91,$B$87:$B$100,0),MATCH($M$86,$A$87:$H$87,0))*고양시_Modal_split!P$3 * 0.01</f>
        <v>168.52487498304782</v>
      </c>
      <c r="AA91" s="207">
        <f>INDEX($A$87:$H$100,MATCH($L91,$B$87:$B$100,0),MATCH($AA$86,$A$87:$H$87,0))*고양시_Modal_split!C$3 * 0.01</f>
        <v>3.4150171926026798</v>
      </c>
      <c r="AB91" s="207">
        <f>INDEX($A$87:$H$100,MATCH($L91,$B$87:$B$100,0),MATCH($AA$86,$A$87:$H$87,0))*고양시_Modal_split!D$3 * 0.01</f>
        <v>573.60092345751457</v>
      </c>
      <c r="AC91" s="207">
        <f>INDEX($A$87:$H$100,MATCH($L91,$B$87:$B$100,0),MATCH($AA$86,$A$87:$H$87,0))*고양시_Modal_split!E$3 * 0.01</f>
        <v>69.398027949675893</v>
      </c>
      <c r="AD91" s="207">
        <f>INDEX($A$87:$H$100,MATCH($L91,$B$87:$B$100,0),MATCH($AA$86,$A$87:$H$87,0))*고양시_Modal_split!F$3 * 0.01</f>
        <v>111.84181305773778</v>
      </c>
      <c r="AE91" s="207">
        <f>INDEX($A$87:$H$100,MATCH($L91,$B$87:$B$100,0),MATCH($AA$86,$A$87:$H$87,0))*고양시_Modal_split!G$3 * 0.01</f>
        <v>11.22077077569452</v>
      </c>
      <c r="AF91" s="207">
        <f>INDEX($A$87:$H$100,MATCH($L91,$B$87:$B$100,0),MATCH($AA$86,$A$87:$H$87,0))*고양시_Modal_split!H$3 * 0.01</f>
        <v>0.12196489973581003</v>
      </c>
      <c r="AG91" s="207">
        <f>INDEX($A$87:$H$100,MATCH($L91,$B$87:$B$100,0),MATCH($AA$86,$A$87:$H$87,0))*고양시_Modal_split!I$3 * 0.01</f>
        <v>33.906242126555178</v>
      </c>
      <c r="AH91" s="207">
        <f>INDEX($A$87:$H$100,MATCH($L91,$B$87:$B$100,0),MATCH($AA$86,$A$87:$H$87,0))*고양시_Modal_split!J$3 * 0.01</f>
        <v>371.26115479580574</v>
      </c>
      <c r="AI91" s="207">
        <f>INDEX($A$87:$H$100,MATCH($L91,$B$87:$B$100,0),MATCH($AA$86,$A$87:$H$87,0))*고양시_Modal_split!K$3 * 0.01</f>
        <v>1.8294734960371504</v>
      </c>
      <c r="AJ91" s="207">
        <f>INDEX($A$87:$H$100,MATCH($L91,$B$87:$B$100,0),MATCH($AA$86,$A$87:$H$87,0))*고양시_Modal_split!L$3 * 0.01</f>
        <v>36.833399720214622</v>
      </c>
      <c r="AK91" s="207">
        <f>INDEX($A$87:$H$100,MATCH($L91,$B$87:$B$100,0),MATCH($AA$86,$A$87:$H$87,0))*고양시_Modal_split!M$3 * 0.01</f>
        <v>2.80519269392363</v>
      </c>
      <c r="AL91" s="207">
        <f>INDEX($A$87:$H$100,MATCH($L91,$B$87:$B$100,0),MATCH($AA$86,$A$87:$H$87,0))*고양시_Modal_split!N$3 * 0.01</f>
        <v>1.2196489973581002</v>
      </c>
      <c r="AM91" s="207">
        <f>INDEX($A$87:$H$100,MATCH($L91,$B$87:$B$100,0),MATCH($AA$86,$A$87:$H$87,0))*고양시_Modal_split!O$3 * 0.01</f>
        <v>2.1953681952445803</v>
      </c>
      <c r="AN91" s="207">
        <f>INDEX($A$87:$H$100,MATCH($L91,$B$87:$B$100,0),MATCH($AA$86,$A$87:$H$87,0))*고양시_Modal_split!P$3 * 0.01</f>
        <v>1219.6489973581001</v>
      </c>
      <c r="AO91" s="303">
        <f>INDEX($A$87:$H$100,MATCH($L91,$B$87:$B$100,0),MATCH($AO$86,$A$87:$H$87,0))*고양시_Modal_split!C$3 * 0.01</f>
        <v>0.19591108346224137</v>
      </c>
      <c r="AP91" s="303">
        <f>INDEX($A$87:$H$100,MATCH($L91,$B$87:$B$100,0),MATCH($AO$86,$A$87:$H$87,0))*고양시_Modal_split!D$3 * 0.01</f>
        <v>32.906065197247187</v>
      </c>
      <c r="AQ91" s="303">
        <f>INDEX($A$87:$H$100,MATCH($L91,$B$87:$B$100,0),MATCH($AO$86,$A$87:$H$87,0))*고양시_Modal_split!E$3 * 0.01</f>
        <v>3.9811930889291189</v>
      </c>
      <c r="AR91" s="303">
        <f>INDEX($A$87:$H$100,MATCH($L91,$B$87:$B$100,0),MATCH($AO$86,$A$87:$H$87,0))*고양시_Modal_split!F$3 * 0.01</f>
        <v>6.4160879833884055</v>
      </c>
      <c r="AS91" s="303">
        <f>INDEX($A$87:$H$100,MATCH($L91,$B$87:$B$100,0),MATCH($AO$86,$A$87:$H$87,0))*고양시_Modal_split!G$3 * 0.01</f>
        <v>0.64370784566165018</v>
      </c>
      <c r="AT91" s="303">
        <f>INDEX($A$87:$H$100,MATCH($L91,$B$87:$B$100,0),MATCH($AO$86,$A$87:$H$87,0))*고양시_Modal_split!H$3 * 0.01</f>
        <v>6.9968244093657631E-3</v>
      </c>
      <c r="AU91" s="303">
        <f>INDEX($A$87:$H$100,MATCH($L91,$B$87:$B$100,0),MATCH($AO$86,$A$87:$H$87,0))*고양시_Modal_split!I$3 * 0.01</f>
        <v>1.9451171858036822</v>
      </c>
      <c r="AV91" s="303">
        <f>INDEX($A$87:$H$100,MATCH($L91,$B$87:$B$100,0),MATCH($AO$86,$A$87:$H$87,0))*고양시_Modal_split!J$3 * 0.01</f>
        <v>21.298333502109386</v>
      </c>
      <c r="AW91" s="303">
        <f>INDEX($A$87:$H$100,MATCH($L91,$B$87:$B$100,0),MATCH($AO$86,$A$87:$H$87,0))*고양시_Modal_split!K$3 * 0.01</f>
        <v>0.10495236614048645</v>
      </c>
      <c r="AX91" s="303">
        <f>INDEX($A$87:$H$100,MATCH($L91,$B$87:$B$100,0),MATCH($AO$86,$A$87:$H$87,0))*고양시_Modal_split!L$3 * 0.01</f>
        <v>2.1130409716284602</v>
      </c>
      <c r="AY91" s="303">
        <f>INDEX($A$87:$H$100,MATCH($L91,$B$87:$B$100,0),MATCH($AO$86,$A$87:$H$87,0))*고양시_Modal_split!M$3 * 0.01</f>
        <v>0.16092696141541254</v>
      </c>
      <c r="AZ91" s="303">
        <f>INDEX($A$87:$H$100,MATCH($L91,$B$87:$B$100,0),MATCH($AO$86,$A$87:$H$87,0))*고양시_Modal_split!N$3 * 0.01</f>
        <v>6.9968244093657636E-2</v>
      </c>
      <c r="BA91" s="207">
        <f>INDEX($A$87:$H$100,MATCH($L91,$B$87:$B$100,0),MATCH($AO$86,$A$87:$H$87,0))*고양시_Modal_split!O$3 * 0.01</f>
        <v>0.12594283936858372</v>
      </c>
      <c r="BB91" s="207">
        <f>INDEX($A$87:$H$100,MATCH($L91,$B$87:$B$100,0),MATCH($AO$86,$A$87:$H$87,0))*고양시_Modal_split!P$3 * 0.01</f>
        <v>69.968244093657631</v>
      </c>
      <c r="BC91" s="207">
        <f>INDEX($A$87:$H$100,MATCH($L91,$B$87:$B$100,0),MATCH($BC$86,$A$87:$H$87,0))*고양시_Modal_split!C$3 * 0.01</f>
        <v>3.0787493472327141E-4</v>
      </c>
      <c r="BD91" s="207">
        <f>INDEX($A$87:$H$100,MATCH($L91,$B$87:$B$100,0),MATCH($BC$86,$A$87:$H$87,0))*고양시_Modal_split!D$3 * 0.01</f>
        <v>5.1711993500126632E-2</v>
      </c>
      <c r="BE91" s="207">
        <f>INDEX($A$87:$H$100,MATCH($L91,$B$87:$B$100,0),MATCH($BC$86,$A$87:$H$87,0))*고양시_Modal_split!E$3 * 0.01</f>
        <v>6.2564584949121949E-3</v>
      </c>
      <c r="BF91" s="207">
        <f>INDEX($A$87:$H$100,MATCH($L91,$B$87:$B$100,0),MATCH($BC$86,$A$87:$H$87,0))*고양시_Modal_split!F$3 * 0.01</f>
        <v>1.0082904112187142E-2</v>
      </c>
      <c r="BG91" s="207">
        <f>INDEX($A$87:$H$100,MATCH($L91,$B$87:$B$100,0),MATCH($BC$86,$A$87:$H$87,0))*고양시_Modal_split!G$3 * 0.01</f>
        <v>1.0115890712336063E-3</v>
      </c>
      <c r="BH91" s="207">
        <f>INDEX($A$87:$H$100,MATCH($L91,$B$87:$B$100,0),MATCH($BC$86,$A$87:$H$87,0))*고양시_Modal_split!H$3 * 0.01</f>
        <v>1.0995533382973982E-5</v>
      </c>
      <c r="BI91" s="207">
        <f>INDEX($A$87:$H$100,MATCH($L91,$B$87:$B$100,0),MATCH($BC$86,$A$87:$H$87,0))*고양시_Modal_split!I$3 * 0.01</f>
        <v>3.0567582804667667E-3</v>
      </c>
      <c r="BJ91" s="207">
        <f>INDEX($A$87:$H$100,MATCH($L91,$B$87:$B$100,0),MATCH($BC$86,$A$87:$H$87,0))*고양시_Modal_split!J$3 * 0.01</f>
        <v>3.3470403617772801E-2</v>
      </c>
      <c r="BK91" s="207">
        <f>INDEX($A$87:$H$100,MATCH($L91,$B$87:$B$100,0),MATCH($BC$86,$A$87:$H$87,0))*고양시_Modal_split!K$3 * 0.01</f>
        <v>1.6493300074460972E-4</v>
      </c>
      <c r="BL91" s="207">
        <f>INDEX($A$87:$H$100,MATCH($L91,$B$87:$B$100,0),MATCH($BC$86,$A$87:$H$87,0))*고양시_Modal_split!L$3 * 0.01</f>
        <v>3.320651081658142E-3</v>
      </c>
      <c r="BM91" s="207">
        <f>INDEX($A$87:$H$100,MATCH($L91,$B$87:$B$100,0),MATCH($BC$86,$A$87:$H$87,0))*고양시_Modal_split!M$3 * 0.01</f>
        <v>2.5289726780840157E-4</v>
      </c>
      <c r="BN91" s="207">
        <f>INDEX($A$87:$H$100,MATCH($L91,$B$87:$B$100,0),MATCH($BC$86,$A$87:$H$87,0))*고양시_Modal_split!N$3 * 0.01</f>
        <v>1.0995533382973981E-4</v>
      </c>
      <c r="BO91" s="207">
        <f>INDEX($A$87:$H$100,MATCH($L91,$B$87:$B$100,0),MATCH($BC$86,$A$87:$H$87,0))*고양시_Modal_split!O$3 * 0.01</f>
        <v>1.9791960089353164E-4</v>
      </c>
      <c r="BP91" s="207">
        <f>INDEX($A$87:$H$100,MATCH($L91,$B$87:$B$100,0),MATCH($BC$86,$A$87:$H$87,0))*고양시_Modal_split!P$3 * 0.01</f>
        <v>0.10995533382973982</v>
      </c>
      <c r="BQ91" s="207">
        <f>INDEX($A$87:$H$100,MATCH($L91,$B$87:$B$100,0),MATCH($BQ$86,$A$87:$H$87,0))*고양시_Modal_split!C$3 * 0.01</f>
        <v>1.1630830867323579E-3</v>
      </c>
      <c r="BR91" s="207">
        <f>INDEX($A$87:$H$100,MATCH($L91,$B$87:$B$100,0),MATCH($BQ$86,$A$87:$H$87,0))*고양시_Modal_split!D$3 * 0.01</f>
        <v>0.19535641988936714</v>
      </c>
      <c r="BS91" s="207">
        <f>INDEX($A$87:$H$100,MATCH($L91,$B$87:$B$100,0),MATCH($BQ$86,$A$87:$H$87,0))*고양시_Modal_split!E$3 * 0.01</f>
        <v>2.363550986966827E-2</v>
      </c>
      <c r="BT91" s="207">
        <f>INDEX($A$87:$H$100,MATCH($L91,$B$87:$B$100,0),MATCH($BQ$86,$A$87:$H$87,0))*고양시_Modal_split!F$3 * 0.01</f>
        <v>3.8090971090484725E-2</v>
      </c>
      <c r="BU91" s="207">
        <f>INDEX($A$87:$H$100,MATCH($L91,$B$87:$B$100,0),MATCH($BQ$86,$A$87:$H$87,0))*고양시_Modal_split!G$3 * 0.01</f>
        <v>3.821558713549176E-3</v>
      </c>
      <c r="BV91" s="207">
        <f>INDEX($A$87:$H$100,MATCH($L91,$B$87:$B$100,0),MATCH($BQ$86,$A$87:$H$87,0))*고양시_Modal_split!H$3 * 0.01</f>
        <v>4.1538681669012782E-5</v>
      </c>
      <c r="BW91" s="207">
        <f>INDEX($A$87:$H$100,MATCH($L91,$B$87:$B$100,0),MATCH($BQ$86,$A$87:$H$87,0))*고양시_Modal_split!I$3 * 0.01</f>
        <v>1.1547753503985554E-2</v>
      </c>
      <c r="BX91" s="207">
        <f>INDEX($A$87:$H$100,MATCH($L91,$B$87:$B$100,0),MATCH($BQ$86,$A$87:$H$87,0))*고양시_Modal_split!J$3 * 0.01</f>
        <v>0.12644374700047492</v>
      </c>
      <c r="BY91" s="207">
        <f>INDEX($A$87:$H$100,MATCH($L91,$B$87:$B$100,0),MATCH($BQ$86,$A$87:$H$87,0))*고양시_Modal_split!K$3 * 0.01</f>
        <v>6.2308022503519179E-4</v>
      </c>
      <c r="BZ91" s="207">
        <f>INDEX($A$87:$H$100,MATCH($L91,$B$87:$B$100,0),MATCH($BQ$86,$A$87:$H$87,0))*고양시_Modal_split!L$3 * 0.01</f>
        <v>1.2544681864041861E-2</v>
      </c>
      <c r="CA91" s="207">
        <f>INDEX($A$87:$H$100,MATCH($L91,$B$87:$B$100,0),MATCH($BQ$86,$A$87:$H$87,0))*고양시_Modal_split!M$3 * 0.01</f>
        <v>9.55389678387294E-4</v>
      </c>
      <c r="CB91" s="207">
        <f>INDEX($A$87:$H$100,MATCH($L91,$B$87:$B$100,0),MATCH($BQ$86,$A$87:$H$87,0))*고양시_Modal_split!N$3 * 0.01</f>
        <v>4.1538681669012786E-4</v>
      </c>
      <c r="CC91" s="207">
        <f>INDEX($A$87:$H$100,MATCH($L91,$B$87:$B$100,0),MATCH($BQ$86,$A$87:$H$87,0))*고양시_Modal_split!O$3 * 0.01</f>
        <v>7.4769627004223006E-4</v>
      </c>
      <c r="CD91" s="207">
        <f>INDEX($A$87:$H$100,MATCH($L91,$B$87:$B$100,0),MATCH($BQ$86,$A$87:$H$87,0))*고양시_Modal_split!P$3 * 0.01</f>
        <v>0.41538681669012784</v>
      </c>
      <c r="CE91" s="304">
        <f t="shared" si="69"/>
        <v>4.0842688840389103</v>
      </c>
      <c r="CF91" s="304">
        <f t="shared" si="51"/>
        <v>686.01130577267861</v>
      </c>
      <c r="CG91" s="304">
        <f t="shared" si="52"/>
        <v>82.998178393505015</v>
      </c>
      <c r="CH91" s="304">
        <f t="shared" si="53"/>
        <v>133.75980595227435</v>
      </c>
      <c r="CI91" s="304">
        <f t="shared" si="54"/>
        <v>13.419740618984992</v>
      </c>
      <c r="CJ91" s="304">
        <f t="shared" si="55"/>
        <v>0.14586674585853254</v>
      </c>
      <c r="CK91" s="304">
        <f t="shared" si="56"/>
        <v>40.550955348672034</v>
      </c>
      <c r="CL91" s="304">
        <f t="shared" si="57"/>
        <v>444.01837439337311</v>
      </c>
      <c r="CM91" s="304">
        <f t="shared" si="58"/>
        <v>2.1880011878779881</v>
      </c>
      <c r="CN91" s="304">
        <f t="shared" si="59"/>
        <v>44.051757249276825</v>
      </c>
      <c r="CO91" s="304">
        <f t="shared" si="60"/>
        <v>3.354935154746248</v>
      </c>
      <c r="CP91" s="304">
        <f t="shared" si="61"/>
        <v>1.4586674585853252</v>
      </c>
      <c r="CQ91" s="304">
        <f t="shared" si="62"/>
        <v>2.6256014254535858</v>
      </c>
      <c r="CR91" s="304">
        <f t="shared" si="63"/>
        <v>1458.6674585853254</v>
      </c>
      <c r="CS91" s="305">
        <f t="shared" si="70"/>
        <v>0</v>
      </c>
      <c r="CV91" s="265" t="s">
        <v>605</v>
      </c>
      <c r="CW91" s="265" t="s">
        <v>609</v>
      </c>
      <c r="CX91" s="267">
        <f>INDEX($M$86:$Z$100,MATCH($CW91,$L$86:$L$100,0),MATCH(CX$87,$M$87:$Z$87,0))/INDEX(고양시_재차인원!$D$4:$H$35,MATCH("고양시",고양시_재차인원!$B$4:$B$35,0),MATCH($CX$86,고양시_재차인원!$D$4:$H$4,0))</f>
        <v>70.765400629042304</v>
      </c>
      <c r="CY91" s="267">
        <f>INDEX($M$86:$Z$100,MATCH($CW91,$L$86:$L$100,0),MATCH(CY$87,$M$87:$Z$87,0))/INDEX(고양시_재차인원!$K$4:$O$20,MATCH("경기도",고양시_재차인원!$K$4:$K$20,0),MATCH($CY$87,고양시_재차인원!$K$4:$O$4,0))</f>
        <v>5.8535906558891226E-4</v>
      </c>
      <c r="CZ91" s="267">
        <f>INDEX($M$86:$Z$100,MATCH($CW91,$L$86:$L$100,0),MATCH(CZ$87,$M$87:$Z$87,0))/INDEX(고양시_재차인원!$K$4:$O$20,MATCH("경기도",고양시_재차인원!$K$4:$K$20,0),MATCH($CZ$87,고양시_재차인원!$K$4:$O$4,0))</f>
        <v>0.16272982023371757</v>
      </c>
      <c r="DA91" s="267">
        <f>INDEX($M$86:$Z$100,MATCH($CW91,$L$86:$L$100,0),MATCH(DA$87,$M$87:$Z$87,0))/INDEX(고양시_재차인원!$D$4:$H$35,MATCH("고양시",고양시_재차인원!$B$4:$B$35,0),MATCH($CX$86,고양시_재차인원!$D$4:$H$4,0))</f>
        <v>4.5441528790071812</v>
      </c>
      <c r="DB91" s="267">
        <f>INDEX($AA$86:$AN$100,MATCH($CW91,$L$86:$L$100,0),MATCH(DB$87,$AA$87:$AN$87,0))/INDEX(고양시_재차인원!$D$4:$H$35,MATCH("고양시",고양시_재차인원!$B$4:$B$35,0),MATCH($DB$86,고양시_재차인원!$D$4:$H$4,0))</f>
        <v>406.80916557270541</v>
      </c>
      <c r="DC91" s="267">
        <f>INDEX($AA$86:$AN$100,MATCH($CW91,$L$86:$L$100,0),MATCH(DC$87,$AA$87:$AN$87,0))/INDEX(고양시_재차인원!$K$4:$O$20,MATCH("경기도",고양시_재차인원!$K$4:$K$20,0),MATCH(DC$87,고양시_재차인원!$K$4:$O$4,0))</f>
        <v>4.236363311420981E-3</v>
      </c>
      <c r="DD91" s="267">
        <f>INDEX($AA$86:$AN$100,MATCH($CW91,$L$86:$L$100,0),MATCH(DD$87,$AA$87:$AN$87,0))/INDEX(고양시_재차인원!$K$4:$O$20,MATCH("경기도",고양시_재차인원!$K$4:$K$20,0),MATCH(DD$87,고양시_재차인원!$K$4:$O$4,0))</f>
        <v>1.1777090005750324</v>
      </c>
      <c r="DE91" s="267">
        <f>INDEX($AA$86:$AN$100,MATCH($CW91,$L$86:$L$100,0),MATCH(DE$87,$AA$87:$AN$87,0))/INDEX(고양시_재차인원!$D$4:$H$35,MATCH("고양시",고양시_재차인원!$B$4:$B$35,0),MATCH($DB$86,고양시_재차인원!$D$4:$H$4,0))</f>
        <v>26.122978524974911</v>
      </c>
      <c r="DF91" s="267">
        <f>INDEX($AO$86:$BB$100,MATCH($CW91,$L$86:$L$100,0),MATCH(DF$87,$AO$87:$BB$87,0))/INDEX(고양시_재차인원!$D$4:$H$35,MATCH("고양시",고양시_재차인원!$B$4:$B$35,0),MATCH($DF$86,고양시_재차인원!$D$4:$H$4,0))</f>
        <v>25.312357844036296</v>
      </c>
      <c r="DG91" s="267">
        <f>INDEX($AO$86:$BB$100,MATCH($CW91,$L$86:$L$100,0),MATCH(DG$87,$AO$87:$BB$87,0))/INDEX(고양시_재차인원!$K$4:$O$20,MATCH("경기도",고양시_재차인원!$K$4:$K$20,0),MATCH(DG$87,고양시_재차인원!$K$4:$O$4,0))</f>
        <v>2.4302967729648362E-4</v>
      </c>
      <c r="DH91" s="267">
        <f>INDEX($AO$86:$BB$100,MATCH($CW91,$L$86:$L$100,0),MATCH(DH$87,$AO$87:$BB$87,0))/INDEX(고양시_재차인원!$K$4:$O$20,MATCH("경기도",고양시_재차인원!$K$4:$K$20,0),MATCH(DH$87,고양시_재차인원!$K$4:$O$4,0))</f>
        <v>6.7562250288422443E-2</v>
      </c>
      <c r="DI91" s="267">
        <f>INDEX($AO$86:$BB$100,MATCH($CW91,$L$86:$L$100,0),MATCH(DI$87,$AO$87:$BB$87,0))/INDEX(고양시_재차인원!$D$4:$H$35,MATCH("고양시",고양시_재차인원!$B$4:$B$35,0),MATCH($DF$86,고양시_재차인원!$D$4:$H$4,0))</f>
        <v>1.6254161320218923</v>
      </c>
      <c r="DJ91" s="267">
        <f>INDEX($BC$86:$BP$100,MATCH($CW91,$L$86:$L$100,0),MATCH(DJ$87,$BC$87:$BP$87,0))/INDEX(고양시_재차인원!$D$4:$H$35,MATCH("고양시",고양시_재차인원!$B$4:$B$35,0),MATCH($DJ$86,고양시_재차인원!$D$4:$H$4,0))</f>
        <v>3.802352463244605E-2</v>
      </c>
      <c r="DK91" s="267">
        <f>INDEX($BC$86:$BP$100,MATCH($CW91,$L$86:$L$100,0),MATCH(DK$87,$BC$87:$BP$87,0))/INDEX(고양시_재차인원!$K$4:$O$20,MATCH("경기도",고양시_재차인원!$K$4:$K$20,0),MATCH(DK$87,고양시_재차인원!$K$4:$O$4,0))</f>
        <v>3.8192196536901642E-7</v>
      </c>
      <c r="DL91" s="267">
        <f>INDEX($BC$86:$BP$100,MATCH($CW91,$L$86:$L$100,0),MATCH(DL$87,$BC$87:$BP$87,0))/INDEX(고양시_재차인원!$K$4:$O$20,MATCH("경기도",고양시_재차인원!$K$4:$K$20,0),MATCH(DL$87,고양시_재차인원!$K$4:$O$4,0))</f>
        <v>1.0617430637258655E-4</v>
      </c>
      <c r="DM91" s="267">
        <f>INDEX($BC$86:$BP$100,MATCH($CW91,$L$86:$L$100,0),MATCH(DM$87,$BC$87:$BP$87,0))/INDEX(고양시_재차인원!$D$4:$H$35,MATCH("고양시",고양시_재차인원!$B$4:$B$35,0),MATCH($DJ$86,고양시_재차인원!$D$4:$H$4,0))</f>
        <v>2.4416552071015746E-3</v>
      </c>
      <c r="DN91" s="267">
        <f>INDEX($BQ$86:$CD$100,MATCH($CW91,$L$86:$L$100,0),MATCH(DN$87,$BQ$87:$CD$87,0))/INDEX(고양시_재차인원!$D$4:$H$35,MATCH("고양시",고양시_재차인원!$B$4:$B$35,0),MATCH($DN$86,고양시_재차인원!$D$4:$H$4,0))</f>
        <v>0.15504477768997391</v>
      </c>
      <c r="DO91" s="267">
        <f>INDEX($BQ$86:$CD$100,MATCH($CW91,$L$86:$L$100,0),MATCH(DO$87,$BQ$87:$CD$87,0))/INDEX(고양시_재차인원!$K$4:$O$20,MATCH("경기도",고양시_재차인원!$K$4:$K$20,0),MATCH(DO$87,고양시_재차인원!$K$4:$O$4,0))</f>
        <v>1.4428163136162829E-6</v>
      </c>
      <c r="DP91" s="267">
        <f>INDEX($BQ$86:$CD$100,MATCH($CW91,$L$86:$L$100,0),MATCH(DP$87,$BQ$87:$CD$87,0))/INDEX(고양시_재차인원!$K$4:$O$20,MATCH("경기도",고양시_재차인원!$K$4:$K$20,0),MATCH(DP$87,고양시_재차인원!$K$4:$O$4,0))</f>
        <v>4.0110293518532666E-4</v>
      </c>
      <c r="DQ91" s="267">
        <f>INDEX($BQ$86:$CD$100,MATCH($CW91,$L$86:$L$100,0),MATCH(DQ$87,$BQ$87:$CD$87,0))/INDEX(고양시_재차인원!$D$4:$H$35,MATCH("고양시",고양시_재차인원!$B$4:$B$35,0),MATCH($DN$86,고양시_재차인원!$D$4:$H$4,0))</f>
        <v>9.9560967174935396E-3</v>
      </c>
      <c r="DR91" s="270">
        <f t="shared" si="71"/>
        <v>503.07999234810637</v>
      </c>
      <c r="DS91" s="270">
        <f t="shared" si="64"/>
        <v>5.0665767925853625E-3</v>
      </c>
      <c r="DT91" s="270">
        <f t="shared" si="65"/>
        <v>1.4085083483387302</v>
      </c>
      <c r="DU91" s="270">
        <f t="shared" si="66"/>
        <v>32.304945287928582</v>
      </c>
      <c r="DW91" s="278" t="s">
        <v>605</v>
      </c>
      <c r="DX91" s="278" t="s">
        <v>609</v>
      </c>
      <c r="DY91" s="281">
        <f t="shared" si="72"/>
        <v>535.38493763603492</v>
      </c>
      <c r="DZ91" s="281">
        <f t="shared" si="73"/>
        <v>1.4135749251313154</v>
      </c>
      <c r="EB91" s="278" t="s">
        <v>622</v>
      </c>
      <c r="EC91" s="278" t="s">
        <v>609</v>
      </c>
      <c r="ED91" s="309">
        <f t="shared" si="74"/>
        <v>628.71091875343018</v>
      </c>
      <c r="EE91" s="309">
        <f t="shared" si="67"/>
        <v>1.6599831773943119</v>
      </c>
      <c r="EK91" s="420" t="s">
        <v>622</v>
      </c>
      <c r="EL91" s="420" t="s">
        <v>638</v>
      </c>
      <c r="EM91" s="420" t="s">
        <v>76</v>
      </c>
      <c r="EN91" s="420">
        <v>38408.5</v>
      </c>
      <c r="EO91" s="420">
        <v>1</v>
      </c>
      <c r="EP91" s="421">
        <v>849004</v>
      </c>
      <c r="EQ91" s="422">
        <f t="shared" si="75"/>
        <v>730.94288649187592</v>
      </c>
      <c r="ER91" s="422">
        <f t="shared" si="76"/>
        <v>1.9299058740992066</v>
      </c>
      <c r="ES91">
        <v>0</v>
      </c>
      <c r="EU91" s="306" t="s">
        <v>622</v>
      </c>
      <c r="EV91" s="306" t="s">
        <v>199</v>
      </c>
      <c r="EW91" s="306" t="s">
        <v>76</v>
      </c>
      <c r="EX91" s="306">
        <v>38408.5</v>
      </c>
      <c r="EY91" s="306">
        <v>1</v>
      </c>
      <c r="EZ91" s="307">
        <v>849004</v>
      </c>
      <c r="FA91" s="308">
        <f t="shared" si="77"/>
        <v>730.94288649187592</v>
      </c>
      <c r="FB91" s="308">
        <f t="shared" si="68"/>
        <v>1.9299058740992066</v>
      </c>
      <c r="FD91" s="101"/>
      <c r="FE91" s="101"/>
      <c r="FF91" s="101"/>
      <c r="FG91" s="101"/>
      <c r="FH91" s="101"/>
      <c r="FI91" s="374"/>
      <c r="FJ91" s="404"/>
      <c r="FK91" s="404"/>
    </row>
    <row r="92" spans="1:167">
      <c r="A92" s="205" t="s">
        <v>12</v>
      </c>
      <c r="B92" s="205" t="s">
        <v>12</v>
      </c>
      <c r="C92" s="201">
        <f>$K33*KTDB_TripDistribution_2045!T$12</f>
        <v>20.895566021428362</v>
      </c>
      <c r="D92" s="201">
        <f>$K33*KTDB_TripDistribution_2045!U$12</f>
        <v>151.22548614754169</v>
      </c>
      <c r="E92" s="201">
        <f>$K33*KTDB_TripDistribution_2045!V$12</f>
        <v>8.6754318257735292</v>
      </c>
      <c r="F92" s="201">
        <f>$K33*KTDB_TripDistribution_2045!W$12</f>
        <v>1.3633470653389542E-2</v>
      </c>
      <c r="G92" s="201">
        <f>$K33*KTDB_TripDistribution_2045!X$12</f>
        <v>5.150422246836045E-2</v>
      </c>
      <c r="H92" s="201">
        <f>$K33*KTDB_TripDistribution_2045!Y$12</f>
        <v>180.86162168786532</v>
      </c>
      <c r="J92" s="230">
        <f t="shared" si="50"/>
        <v>180.86162168786532</v>
      </c>
      <c r="K92" s="206" t="s">
        <v>12</v>
      </c>
      <c r="L92" s="206" t="s">
        <v>12</v>
      </c>
      <c r="M92" s="206">
        <f>INDEX($A$87:$H$100,MATCH($L92,$B$87:$B$100,0),MATCH($M$86,$A$87:$H$87,0))*고양시_Modal_split!C$3 * 0.01</f>
        <v>5.8507584859999406E-2</v>
      </c>
      <c r="N92" s="206">
        <f>INDEX($A$87:$H$100,MATCH($L92,$B$87:$B$100,0),MATCH($M$86,$A$87:$H$87,0))*고양시_Modal_split!D$3 * 0.01</f>
        <v>9.8271846998777583</v>
      </c>
      <c r="O92" s="206">
        <f>INDEX($A$87:$H$100,MATCH($L92,$B$87:$B$100,0),MATCH($M$86,$A$87:$H$87,0))*고양시_Modal_split!E$3 * 0.01</f>
        <v>1.1889577066192738</v>
      </c>
      <c r="P92" s="206">
        <f>INDEX($A$87:$H$100,MATCH($L92,$B$87:$B$100,0),MATCH($M$86,$A$87:$H$87,0))*고양시_Modal_split!F$3 * 0.01</f>
        <v>1.9161234041649808</v>
      </c>
      <c r="Q92" s="206">
        <f>INDEX($A$87:$H$100,MATCH($L92,$B$87:$B$100,0),MATCH($M$86,$A$87:$H$87,0))*고양시_Modal_split!G$3 * 0.01</f>
        <v>0.19223920739714093</v>
      </c>
      <c r="R92" s="206">
        <f>INDEX($A$87:$H$100,MATCH($L92,$B$87:$B$100,0),MATCH($M$86,$A$87:$H$87,0))*고양시_Modal_split!H$3 * 0.01</f>
        <v>2.0895566021428363E-3</v>
      </c>
      <c r="S92" s="206">
        <f>INDEX($A$87:$H$100,MATCH($L92,$B$87:$B$100,0),MATCH($M$86,$A$87:$H$87,0))*고양시_Modal_split!I$3 * 0.01</f>
        <v>0.58089673539570841</v>
      </c>
      <c r="T92" s="206">
        <f>INDEX($A$87:$H$100,MATCH($L92,$B$87:$B$100,0),MATCH($M$86,$A$87:$H$87,0))*고양시_Modal_split!J$3 * 0.01</f>
        <v>6.3606102969227933</v>
      </c>
      <c r="U92" s="206">
        <f>INDEX($A$87:$H$100,MATCH($L92,$B$87:$B$100,0),MATCH($M$86,$A$87:$H$87,0))*고양시_Modal_split!K$3 * 0.01</f>
        <v>3.1343349032142538E-2</v>
      </c>
      <c r="V92" s="206">
        <f>INDEX($A$87:$H$100,MATCH($L92,$B$87:$B$100,0),MATCH($M$86,$A$87:$H$87,0))*고양시_Modal_split!L$3 * 0.01</f>
        <v>0.63104609384713661</v>
      </c>
      <c r="W92" s="206">
        <f>INDEX($A$87:$H$100,MATCH($L92,$B$87:$B$100,0),MATCH($M$86,$A$87:$H$87,0))*고양시_Modal_split!M$3 * 0.01</f>
        <v>4.8059801849285232E-2</v>
      </c>
      <c r="X92" s="206">
        <f>INDEX($A$87:$H$100,MATCH($L92,$B$87:$B$100,0),MATCH($M$86,$A$87:$H$87,0))*고양시_Modal_split!N$3 * 0.01</f>
        <v>2.0895566021428363E-2</v>
      </c>
      <c r="Y92" s="206">
        <f>INDEX($A$87:$H$100,MATCH($L92,$B$87:$B$100,0),MATCH($M$86,$A$87:$H$87,0))*고양시_Modal_split!O$3 * 0.01</f>
        <v>3.761201883857105E-2</v>
      </c>
      <c r="Z92" s="209">
        <f>INDEX($A$87:$H$100,MATCH($L92,$B$87:$B$100,0),MATCH($M$86,$A$87:$H$87,0))*고양시_Modal_split!P$3 * 0.01</f>
        <v>20.895566021428362</v>
      </c>
      <c r="AA92" s="207">
        <f>INDEX($A$87:$H$100,MATCH($L92,$B$87:$B$100,0),MATCH($AA$86,$A$87:$H$87,0))*고양시_Modal_split!C$3 * 0.01</f>
        <v>0.42343136121311664</v>
      </c>
      <c r="AB92" s="207">
        <f>INDEX($A$87:$H$100,MATCH($L92,$B$87:$B$100,0),MATCH($AA$86,$A$87:$H$87,0))*고양시_Modal_split!D$3 * 0.01</f>
        <v>71.121346135188858</v>
      </c>
      <c r="AC92" s="207">
        <f>INDEX($A$87:$H$100,MATCH($L92,$B$87:$B$100,0),MATCH($AA$86,$A$87:$H$87,0))*고양시_Modal_split!E$3 * 0.01</f>
        <v>8.6047301617951213</v>
      </c>
      <c r="AD92" s="207">
        <f>INDEX($A$87:$H$100,MATCH($L92,$B$87:$B$100,0),MATCH($AA$86,$A$87:$H$87,0))*고양시_Modal_split!F$3 * 0.01</f>
        <v>13.867377079729572</v>
      </c>
      <c r="AE92" s="207">
        <f>INDEX($A$87:$H$100,MATCH($L92,$B$87:$B$100,0),MATCH($AA$86,$A$87:$H$87,0))*고양시_Modal_split!G$3 * 0.01</f>
        <v>1.3912744725573833</v>
      </c>
      <c r="AF92" s="207">
        <f>INDEX($A$87:$H$100,MATCH($L92,$B$87:$B$100,0),MATCH($AA$86,$A$87:$H$87,0))*고양시_Modal_split!H$3 * 0.01</f>
        <v>1.5122548614754171E-2</v>
      </c>
      <c r="AG92" s="207">
        <f>INDEX($A$87:$H$100,MATCH($L92,$B$87:$B$100,0),MATCH($AA$86,$A$87:$H$87,0))*고양시_Modal_split!I$3 * 0.01</f>
        <v>4.2040685149016586</v>
      </c>
      <c r="AH92" s="207">
        <f>INDEX($A$87:$H$100,MATCH($L92,$B$87:$B$100,0),MATCH($AA$86,$A$87:$H$87,0))*고양시_Modal_split!J$3 * 0.01</f>
        <v>46.033037983311687</v>
      </c>
      <c r="AI92" s="207">
        <f>INDEX($A$87:$H$100,MATCH($L92,$B$87:$B$100,0),MATCH($AA$86,$A$87:$H$87,0))*고양시_Modal_split!K$3 * 0.01</f>
        <v>0.22683822922131253</v>
      </c>
      <c r="AJ92" s="207">
        <f>INDEX($A$87:$H$100,MATCH($L92,$B$87:$B$100,0),MATCH($AA$86,$A$87:$H$87,0))*고양시_Modal_split!L$3 * 0.01</f>
        <v>4.567009681655759</v>
      </c>
      <c r="AK92" s="207">
        <f>INDEX($A$87:$H$100,MATCH($L92,$B$87:$B$100,0),MATCH($AA$86,$A$87:$H$87,0))*고양시_Modal_split!M$3 * 0.01</f>
        <v>0.34781861813934584</v>
      </c>
      <c r="AL92" s="207">
        <f>INDEX($A$87:$H$100,MATCH($L92,$B$87:$B$100,0),MATCH($AA$86,$A$87:$H$87,0))*고양시_Modal_split!N$3 * 0.01</f>
        <v>0.15122548614754169</v>
      </c>
      <c r="AM92" s="207">
        <f>INDEX($A$87:$H$100,MATCH($L92,$B$87:$B$100,0),MATCH($AA$86,$A$87:$H$87,0))*고양시_Modal_split!O$3 * 0.01</f>
        <v>0.27220587506557503</v>
      </c>
      <c r="AN92" s="207">
        <f>INDEX($A$87:$H$100,MATCH($L92,$B$87:$B$100,0),MATCH($AA$86,$A$87:$H$87,0))*고양시_Modal_split!P$3 * 0.01</f>
        <v>151.22548614754169</v>
      </c>
      <c r="AO92" s="303">
        <f>INDEX($A$87:$H$100,MATCH($L92,$B$87:$B$100,0),MATCH($AO$86,$A$87:$H$87,0))*고양시_Modal_split!C$3 * 0.01</f>
        <v>2.4291209112165882E-2</v>
      </c>
      <c r="AP92" s="303">
        <f>INDEX($A$87:$H$100,MATCH($L92,$B$87:$B$100,0),MATCH($AO$86,$A$87:$H$87,0))*고양시_Modal_split!D$3 * 0.01</f>
        <v>4.080055587661291</v>
      </c>
      <c r="AQ92" s="303">
        <f>INDEX($A$87:$H$100,MATCH($L92,$B$87:$B$100,0),MATCH($AO$86,$A$87:$H$87,0))*고양시_Modal_split!E$3 * 0.01</f>
        <v>0.49363207088651379</v>
      </c>
      <c r="AR92" s="303">
        <f>INDEX($A$87:$H$100,MATCH($L92,$B$87:$B$100,0),MATCH($AO$86,$A$87:$H$87,0))*고양시_Modal_split!F$3 * 0.01</f>
        <v>0.79553709842343268</v>
      </c>
      <c r="AS92" s="303">
        <f>INDEX($A$87:$H$100,MATCH($L92,$B$87:$B$100,0),MATCH($AO$86,$A$87:$H$87,0))*고양시_Modal_split!G$3 * 0.01</f>
        <v>7.9813972797116467E-2</v>
      </c>
      <c r="AT92" s="303">
        <f>INDEX($A$87:$H$100,MATCH($L92,$B$87:$B$100,0),MATCH($AO$86,$A$87:$H$87,0))*고양시_Modal_split!H$3 * 0.01</f>
        <v>8.6754318257735289E-4</v>
      </c>
      <c r="AU92" s="303">
        <f>INDEX($A$87:$H$100,MATCH($L92,$B$87:$B$100,0),MATCH($AO$86,$A$87:$H$87,0))*고양시_Modal_split!I$3 * 0.01</f>
        <v>0.24117700475650408</v>
      </c>
      <c r="AV92" s="303">
        <f>INDEX($A$87:$H$100,MATCH($L92,$B$87:$B$100,0),MATCH($AO$86,$A$87:$H$87,0))*고양시_Modal_split!J$3 * 0.01</f>
        <v>2.6408014477654627</v>
      </c>
      <c r="AW92" s="303">
        <f>INDEX($A$87:$H$100,MATCH($L92,$B$87:$B$100,0),MATCH($AO$86,$A$87:$H$87,0))*고양시_Modal_split!K$3 * 0.01</f>
        <v>1.3013147738660294E-2</v>
      </c>
      <c r="AX92" s="303">
        <f>INDEX($A$87:$H$100,MATCH($L92,$B$87:$B$100,0),MATCH($AO$86,$A$87:$H$87,0))*고양시_Modal_split!L$3 * 0.01</f>
        <v>0.26199804113836062</v>
      </c>
      <c r="AY92" s="303">
        <f>INDEX($A$87:$H$100,MATCH($L92,$B$87:$B$100,0),MATCH($AO$86,$A$87:$H$87,0))*고양시_Modal_split!M$3 * 0.01</f>
        <v>1.9953493199279117E-2</v>
      </c>
      <c r="AZ92" s="303">
        <f>INDEX($A$87:$H$100,MATCH($L92,$B$87:$B$100,0),MATCH($AO$86,$A$87:$H$87,0))*고양시_Modal_split!N$3 * 0.01</f>
        <v>8.6754318257735302E-3</v>
      </c>
      <c r="BA92" s="207">
        <f>INDEX($A$87:$H$100,MATCH($L92,$B$87:$B$100,0),MATCH($AO$86,$A$87:$H$87,0))*고양시_Modal_split!O$3 * 0.01</f>
        <v>1.5615777286392352E-2</v>
      </c>
      <c r="BB92" s="207">
        <f>INDEX($A$87:$H$100,MATCH($L92,$B$87:$B$100,0),MATCH($AO$86,$A$87:$H$87,0))*고양시_Modal_split!P$3 * 0.01</f>
        <v>8.6754318257735292</v>
      </c>
      <c r="BC92" s="207">
        <f>INDEX($A$87:$H$100,MATCH($L92,$B$87:$B$100,0),MATCH($BC$86,$A$87:$H$87,0))*고양시_Modal_split!C$3 * 0.01</f>
        <v>3.8173717829490715E-5</v>
      </c>
      <c r="BD92" s="207">
        <f>INDEX($A$87:$H$100,MATCH($L92,$B$87:$B$100,0),MATCH($BC$86,$A$87:$H$87,0))*고양시_Modal_split!D$3 * 0.01</f>
        <v>6.4118212482891018E-3</v>
      </c>
      <c r="BE92" s="207">
        <f>INDEX($A$87:$H$100,MATCH($L92,$B$87:$B$100,0),MATCH($BC$86,$A$87:$H$87,0))*고양시_Modal_split!E$3 * 0.01</f>
        <v>7.757444801778649E-4</v>
      </c>
      <c r="BF92" s="207">
        <f>INDEX($A$87:$H$100,MATCH($L92,$B$87:$B$100,0),MATCH($BC$86,$A$87:$H$87,0))*고양시_Modal_split!F$3 * 0.01</f>
        <v>1.2501892589158209E-3</v>
      </c>
      <c r="BG92" s="207">
        <f>INDEX($A$87:$H$100,MATCH($L92,$B$87:$B$100,0),MATCH($BC$86,$A$87:$H$87,0))*고양시_Modal_split!G$3 * 0.01</f>
        <v>1.2542793001118379E-4</v>
      </c>
      <c r="BH92" s="207">
        <f>INDEX($A$87:$H$100,MATCH($L92,$B$87:$B$100,0),MATCH($BC$86,$A$87:$H$87,0))*고양시_Modal_split!H$3 * 0.01</f>
        <v>1.3633470653389543E-6</v>
      </c>
      <c r="BI92" s="207">
        <f>INDEX($A$87:$H$100,MATCH($L92,$B$87:$B$100,0),MATCH($BC$86,$A$87:$H$87,0))*고양시_Modal_split!I$3 * 0.01</f>
        <v>3.7901048416422926E-4</v>
      </c>
      <c r="BJ92" s="207">
        <f>INDEX($A$87:$H$100,MATCH($L92,$B$87:$B$100,0),MATCH($BC$86,$A$87:$H$87,0))*고양시_Modal_split!J$3 * 0.01</f>
        <v>4.150028466891777E-3</v>
      </c>
      <c r="BK92" s="207">
        <f>INDEX($A$87:$H$100,MATCH($L92,$B$87:$B$100,0),MATCH($BC$86,$A$87:$H$87,0))*고양시_Modal_split!K$3 * 0.01</f>
        <v>2.0450205980084313E-5</v>
      </c>
      <c r="BL92" s="207">
        <f>INDEX($A$87:$H$100,MATCH($L92,$B$87:$B$100,0),MATCH($BC$86,$A$87:$H$87,0))*고양시_Modal_split!L$3 * 0.01</f>
        <v>4.1173081373236417E-4</v>
      </c>
      <c r="BM92" s="207">
        <f>INDEX($A$87:$H$100,MATCH($L92,$B$87:$B$100,0),MATCH($BC$86,$A$87:$H$87,0))*고양시_Modal_split!M$3 * 0.01</f>
        <v>3.1356982502795948E-5</v>
      </c>
      <c r="BN92" s="207">
        <f>INDEX($A$87:$H$100,MATCH($L92,$B$87:$B$100,0),MATCH($BC$86,$A$87:$H$87,0))*고양시_Modal_split!N$3 * 0.01</f>
        <v>1.3633470653389544E-5</v>
      </c>
      <c r="BO92" s="207">
        <f>INDEX($A$87:$H$100,MATCH($L92,$B$87:$B$100,0),MATCH($BC$86,$A$87:$H$87,0))*고양시_Modal_split!O$3 * 0.01</f>
        <v>2.4540247176101177E-5</v>
      </c>
      <c r="BP92" s="207">
        <f>INDEX($A$87:$H$100,MATCH($L92,$B$87:$B$100,0),MATCH($BC$86,$A$87:$H$87,0))*고양시_Modal_split!P$3 * 0.01</f>
        <v>1.3633470653389542E-2</v>
      </c>
      <c r="BQ92" s="207">
        <f>INDEX($A$87:$H$100,MATCH($L92,$B$87:$B$100,0),MATCH($BQ$86,$A$87:$H$87,0))*고양시_Modal_split!C$3 * 0.01</f>
        <v>1.4421182291140925E-4</v>
      </c>
      <c r="BR92" s="207">
        <f>INDEX($A$87:$H$100,MATCH($L92,$B$87:$B$100,0),MATCH($BQ$86,$A$87:$H$87,0))*고양시_Modal_split!D$3 * 0.01</f>
        <v>2.422243582686992E-2</v>
      </c>
      <c r="BS92" s="207">
        <f>INDEX($A$87:$H$100,MATCH($L92,$B$87:$B$100,0),MATCH($BQ$86,$A$87:$H$87,0))*고양시_Modal_split!E$3 * 0.01</f>
        <v>2.9305902584497098E-3</v>
      </c>
      <c r="BT92" s="207">
        <f>INDEX($A$87:$H$100,MATCH($L92,$B$87:$B$100,0),MATCH($BQ$86,$A$87:$H$87,0))*고양시_Modal_split!F$3 * 0.01</f>
        <v>4.7229372003486534E-3</v>
      </c>
      <c r="BU92" s="207">
        <f>INDEX($A$87:$H$100,MATCH($L92,$B$87:$B$100,0),MATCH($BQ$86,$A$87:$H$87,0))*고양시_Modal_split!G$3 * 0.01</f>
        <v>4.7383884670891606E-4</v>
      </c>
      <c r="BV92" s="207">
        <f>INDEX($A$87:$H$100,MATCH($L92,$B$87:$B$100,0),MATCH($BQ$86,$A$87:$H$87,0))*고양시_Modal_split!H$3 * 0.01</f>
        <v>5.1504222468360447E-6</v>
      </c>
      <c r="BW92" s="207">
        <f>INDEX($A$87:$H$100,MATCH($L92,$B$87:$B$100,0),MATCH($BQ$86,$A$87:$H$87,0))*고양시_Modal_split!I$3 * 0.01</f>
        <v>1.4318173846204205E-3</v>
      </c>
      <c r="BX92" s="207">
        <f>INDEX($A$87:$H$100,MATCH($L92,$B$87:$B$100,0),MATCH($BQ$86,$A$87:$H$87,0))*고양시_Modal_split!J$3 * 0.01</f>
        <v>1.5677885319368923E-2</v>
      </c>
      <c r="BY92" s="207">
        <f>INDEX($A$87:$H$100,MATCH($L92,$B$87:$B$100,0),MATCH($BQ$86,$A$87:$H$87,0))*고양시_Modal_split!K$3 * 0.01</f>
        <v>7.7256333702540678E-5</v>
      </c>
      <c r="BZ92" s="207">
        <f>INDEX($A$87:$H$100,MATCH($L92,$B$87:$B$100,0),MATCH($BQ$86,$A$87:$H$87,0))*고양시_Modal_split!L$3 * 0.01</f>
        <v>1.5554275185444854E-3</v>
      </c>
      <c r="CA92" s="207">
        <f>INDEX($A$87:$H$100,MATCH($L92,$B$87:$B$100,0),MATCH($BQ$86,$A$87:$H$87,0))*고양시_Modal_split!M$3 * 0.01</f>
        <v>1.1845971167722901E-4</v>
      </c>
      <c r="CB92" s="207">
        <f>INDEX($A$87:$H$100,MATCH($L92,$B$87:$B$100,0),MATCH($BQ$86,$A$87:$H$87,0))*고양시_Modal_split!N$3 * 0.01</f>
        <v>5.1504222468360459E-5</v>
      </c>
      <c r="CC92" s="207">
        <f>INDEX($A$87:$H$100,MATCH($L92,$B$87:$B$100,0),MATCH($BQ$86,$A$87:$H$87,0))*고양시_Modal_split!O$3 * 0.01</f>
        <v>9.2707600443048803E-5</v>
      </c>
      <c r="CD92" s="207">
        <f>INDEX($A$87:$H$100,MATCH($L92,$B$87:$B$100,0),MATCH($BQ$86,$A$87:$H$87,0))*고양시_Modal_split!P$3 * 0.01</f>
        <v>5.150422246836045E-2</v>
      </c>
      <c r="CE92" s="304">
        <f t="shared" si="69"/>
        <v>0.50641254072602271</v>
      </c>
      <c r="CF92" s="304">
        <f t="shared" si="51"/>
        <v>85.059220679803076</v>
      </c>
      <c r="CG92" s="304">
        <f t="shared" si="52"/>
        <v>10.291026274039536</v>
      </c>
      <c r="CH92" s="304">
        <f t="shared" si="53"/>
        <v>16.585010708777251</v>
      </c>
      <c r="CI92" s="304">
        <f t="shared" si="54"/>
        <v>1.6639269195283608</v>
      </c>
      <c r="CJ92" s="304">
        <f t="shared" si="55"/>
        <v>1.8086162168786536E-2</v>
      </c>
      <c r="CK92" s="304">
        <f t="shared" si="56"/>
        <v>5.0279530829226555</v>
      </c>
      <c r="CL92" s="304">
        <f t="shared" si="57"/>
        <v>55.0542776417862</v>
      </c>
      <c r="CM92" s="304">
        <f t="shared" si="58"/>
        <v>0.27129243253179797</v>
      </c>
      <c r="CN92" s="304">
        <f t="shared" si="59"/>
        <v>5.4620209749735338</v>
      </c>
      <c r="CO92" s="304">
        <f t="shared" si="60"/>
        <v>0.4159817298820902</v>
      </c>
      <c r="CP92" s="304">
        <f t="shared" si="61"/>
        <v>0.18086162168786532</v>
      </c>
      <c r="CQ92" s="304">
        <f t="shared" si="62"/>
        <v>0.32555091903815758</v>
      </c>
      <c r="CR92" s="304">
        <f t="shared" si="63"/>
        <v>180.86162168786532</v>
      </c>
      <c r="CS92" s="305">
        <f t="shared" si="70"/>
        <v>0</v>
      </c>
      <c r="CV92" s="265" t="s">
        <v>12</v>
      </c>
      <c r="CW92" s="265" t="s">
        <v>12</v>
      </c>
      <c r="CX92" s="267">
        <f>INDEX($M$86:$Z$100,MATCH($CW92,$L$86:$L$100,0),MATCH(CX$87,$M$87:$Z$87,0))/INDEX(고양시_재차인원!$D$4:$H$35,MATCH("고양시",고양시_재차인원!$B$4:$B$35,0),MATCH($CX$86,고양시_재차인원!$D$4:$H$4,0))</f>
        <v>8.7742720534622833</v>
      </c>
      <c r="CY92" s="267">
        <f>INDEX($M$86:$Z$100,MATCH($CW92,$L$86:$L$100,0),MATCH(CY$87,$M$87:$Z$87,0))/INDEX(고양시_재차인원!$K$4:$O$20,MATCH("경기도",고양시_재차인원!$K$4:$K$20,0),MATCH($CY$87,고양시_재차인원!$K$4:$O$4,0))</f>
        <v>7.257924981392276E-5</v>
      </c>
      <c r="CZ92" s="267">
        <f>INDEX($M$86:$Z$100,MATCH($CW92,$L$86:$L$100,0),MATCH(CZ$87,$M$87:$Z$87,0))/INDEX(고양시_재차인원!$K$4:$O$20,MATCH("경기도",고양시_재차인원!$K$4:$K$20,0),MATCH($CZ$87,고양시_재차인원!$K$4:$O$4,0))</f>
        <v>2.0177031448270526E-2</v>
      </c>
      <c r="DA92" s="267">
        <f>INDEX($M$86:$Z$100,MATCH($CW92,$L$86:$L$100,0),MATCH(DA$87,$M$87:$Z$87,0))/INDEX(고양시_재차인원!$D$4:$H$35,MATCH("고양시",고양시_재차인원!$B$4:$B$35,0),MATCH($CX$86,고양시_재차인원!$D$4:$H$4,0))</f>
        <v>0.56343401236351476</v>
      </c>
      <c r="DB92" s="267">
        <f>INDEX($AA$86:$AN$100,MATCH($CW92,$L$86:$L$100,0),MATCH(DB$87,$AA$87:$AN$87,0))/INDEX(고양시_재차인원!$D$4:$H$35,MATCH("고양시",고양시_재차인원!$B$4:$B$35,0),MATCH($DB$86,고양시_재차인원!$D$4:$H$4,0))</f>
        <v>50.440671017864439</v>
      </c>
      <c r="DC92" s="267">
        <f>INDEX($AA$86:$AN$100,MATCH($CW92,$L$86:$L$100,0),MATCH(DC$87,$AA$87:$AN$87,0))/INDEX(고양시_재차인원!$K$4:$O$20,MATCH("경기도",고양시_재차인원!$K$4:$K$20,0),MATCH(DC$87,고양시_재차인원!$K$4:$O$4,0))</f>
        <v>5.2527087928982876E-4</v>
      </c>
      <c r="DD92" s="267">
        <f>INDEX($AA$86:$AN$100,MATCH($CW92,$L$86:$L$100,0),MATCH(DD$87,$AA$87:$AN$87,0))/INDEX(고양시_재차인원!$K$4:$O$20,MATCH("경기도",고양시_재차인원!$K$4:$K$20,0),MATCH(DD$87,고양시_재차인원!$K$4:$O$4,0))</f>
        <v>0.14602530444257236</v>
      </c>
      <c r="DE92" s="267">
        <f>INDEX($AA$86:$AN$100,MATCH($CW92,$L$86:$L$100,0),MATCH(DE$87,$AA$87:$AN$87,0))/INDEX(고양시_재차인원!$D$4:$H$35,MATCH("고양시",고양시_재차인원!$B$4:$B$35,0),MATCH($DB$86,고양시_재차인원!$D$4:$H$4,0))</f>
        <v>3.239013958621106</v>
      </c>
      <c r="DF92" s="267">
        <f>INDEX($AO$86:$BB$100,MATCH($CW92,$L$86:$L$100,0),MATCH(DF$87,$AO$87:$BB$87,0))/INDEX(고양시_재차인원!$D$4:$H$35,MATCH("고양시",고양시_재차인원!$B$4:$B$35,0),MATCH($DF$86,고양시_재차인원!$D$4:$H$4,0))</f>
        <v>3.138504298200993</v>
      </c>
      <c r="DG92" s="267">
        <f>INDEX($AO$86:$BB$100,MATCH($CW92,$L$86:$L$100,0),MATCH(DG$87,$AO$87:$BB$87,0))/INDEX(고양시_재차인원!$K$4:$O$20,MATCH("경기도",고양시_재차인원!$K$4:$K$20,0),MATCH(DG$87,고양시_재차인원!$K$4:$O$4,0))</f>
        <v>3.0133490190251926E-5</v>
      </c>
      <c r="DH92" s="267">
        <f>INDEX($AO$86:$BB$100,MATCH($CW92,$L$86:$L$100,0),MATCH(DH$87,$AO$87:$BB$87,0))/INDEX(고양시_재차인원!$K$4:$O$20,MATCH("경기도",고양시_재차인원!$K$4:$K$20,0),MATCH(DH$87,고양시_재차인원!$K$4:$O$4,0))</f>
        <v>8.3771102728900336E-3</v>
      </c>
      <c r="DI92" s="267">
        <f>INDEX($AO$86:$BB$100,MATCH($CW92,$L$86:$L$100,0),MATCH(DI$87,$AO$87:$BB$87,0))/INDEX(고양시_재차인원!$D$4:$H$35,MATCH("고양시",고양시_재차인원!$B$4:$B$35,0),MATCH($DF$86,고양시_재차인원!$D$4:$H$4,0))</f>
        <v>0.20153695472181585</v>
      </c>
      <c r="DJ92" s="267">
        <f>INDEX($BC$86:$BP$100,MATCH($CW92,$L$86:$L$100,0),MATCH(DJ$87,$BC$87:$BP$87,0))/INDEX(고양시_재차인원!$D$4:$H$35,MATCH("고양시",고양시_재차인원!$B$4:$B$35,0),MATCH($DJ$86,고양시_재차인원!$D$4:$H$4,0))</f>
        <v>4.7145744472713979E-3</v>
      </c>
      <c r="DK92" s="267">
        <f>INDEX($BC$86:$BP$100,MATCH($CW92,$L$86:$L$100,0),MATCH(DK$87,$BC$87:$BP$87,0))/INDEX(고양시_재차인원!$K$4:$O$20,MATCH("경기도",고양시_재차인원!$K$4:$K$20,0),MATCH(DK$87,고양시_재차인원!$K$4:$O$4,0))</f>
        <v>4.7354882436226274E-8</v>
      </c>
      <c r="DL92" s="267">
        <f>INDEX($BC$86:$BP$100,MATCH($CW92,$L$86:$L$100,0),MATCH(DL$87,$BC$87:$BP$87,0))/INDEX(고양시_재차인원!$K$4:$O$20,MATCH("경기도",고양시_재차인원!$K$4:$K$20,0),MATCH(DL$87,고양시_재차인원!$K$4:$O$4,0))</f>
        <v>1.3164657317270902E-5</v>
      </c>
      <c r="DM92" s="267">
        <f>INDEX($BC$86:$BP$100,MATCH($CW92,$L$86:$L$100,0),MATCH(DM$87,$BC$87:$BP$87,0))/INDEX(고양시_재차인원!$D$4:$H$35,MATCH("고양시",고양시_재차인원!$B$4:$B$35,0),MATCH($DJ$86,고양시_재차인원!$D$4:$H$4,0))</f>
        <v>3.0274324539144421E-4</v>
      </c>
      <c r="DN92" s="267">
        <f>INDEX($BQ$86:$CD$100,MATCH($CW92,$L$86:$L$100,0),MATCH(DN$87,$BQ$87:$CD$87,0))/INDEX(고양시_재차인원!$D$4:$H$35,MATCH("고양시",고양시_재차인원!$B$4:$B$35,0),MATCH($DN$86,고양시_재차인원!$D$4:$H$4,0))</f>
        <v>1.9224155418150729E-2</v>
      </c>
      <c r="DO92" s="267">
        <f>INDEX($BQ$86:$CD$100,MATCH($CW92,$L$86:$L$100,0),MATCH(DO$87,$BQ$87:$CD$87,0))/INDEX(고양시_재차인원!$K$4:$O$20,MATCH("경기도",고양시_재차인원!$K$4:$K$20,0),MATCH(DO$87,고양시_재차인원!$K$4:$O$4,0))</f>
        <v>1.7889622253685464E-7</v>
      </c>
      <c r="DP92" s="267">
        <f>INDEX($BQ$86:$CD$100,MATCH($CW92,$L$86:$L$100,0),MATCH(DP$87,$BQ$87:$CD$87,0))/INDEX(고양시_재차인원!$K$4:$O$20,MATCH("경기도",고양시_재차인원!$K$4:$K$20,0),MATCH(DP$87,고양시_재차인원!$K$4:$O$4,0))</f>
        <v>4.9733149865245593E-5</v>
      </c>
      <c r="DQ92" s="267">
        <f>INDEX($BQ$86:$CD$100,MATCH($CW92,$L$86:$L$100,0),MATCH(DQ$87,$BQ$87:$CD$87,0))/INDEX(고양시_재차인원!$D$4:$H$35,MATCH("고양시",고양시_재차인원!$B$4:$B$35,0),MATCH($DN$86,고양시_재차인원!$D$4:$H$4,0))</f>
        <v>1.2344662845591155E-3</v>
      </c>
      <c r="DR92" s="270">
        <f t="shared" si="71"/>
        <v>62.377386099393135</v>
      </c>
      <c r="DS92" s="270">
        <f t="shared" si="64"/>
        <v>6.2820987039897643E-4</v>
      </c>
      <c r="DT92" s="270">
        <f t="shared" si="65"/>
        <v>0.17464234397091544</v>
      </c>
      <c r="DU92" s="270">
        <f t="shared" si="66"/>
        <v>4.0055221352363866</v>
      </c>
      <c r="DW92" s="278" t="s">
        <v>12</v>
      </c>
      <c r="DX92" s="278" t="s">
        <v>12</v>
      </c>
      <c r="DY92" s="281">
        <f t="shared" si="72"/>
        <v>66.382908234629525</v>
      </c>
      <c r="DZ92" s="281">
        <f t="shared" si="73"/>
        <v>0.1752705538413144</v>
      </c>
      <c r="EB92" s="278" t="s">
        <v>12</v>
      </c>
      <c r="EC92" s="278" t="s">
        <v>12</v>
      </c>
      <c r="ED92" s="281">
        <f>DY92</f>
        <v>66.382908234629525</v>
      </c>
      <c r="EE92" s="281">
        <f t="shared" ref="EE92:EE93" si="78">DZ92</f>
        <v>0.1752705538413144</v>
      </c>
      <c r="EK92" s="420" t="s">
        <v>622</v>
      </c>
      <c r="EL92" s="420" t="s">
        <v>639</v>
      </c>
      <c r="EM92" s="420" t="s">
        <v>220</v>
      </c>
      <c r="EN92" s="420">
        <v>31514.0893</v>
      </c>
      <c r="EO92" s="420">
        <v>1</v>
      </c>
      <c r="EP92" s="421">
        <v>849005</v>
      </c>
      <c r="EQ92" s="422">
        <f t="shared" si="75"/>
        <v>599.0932028014181</v>
      </c>
      <c r="ER92" s="422">
        <f t="shared" si="76"/>
        <v>1.5817836284972382</v>
      </c>
      <c r="ES92">
        <v>0</v>
      </c>
      <c r="EU92" s="306" t="s">
        <v>622</v>
      </c>
      <c r="EV92" s="306" t="s">
        <v>200</v>
      </c>
      <c r="EW92" s="306" t="s">
        <v>220</v>
      </c>
      <c r="EX92" s="306">
        <v>31514.0893</v>
      </c>
      <c r="EY92" s="306">
        <v>1</v>
      </c>
      <c r="EZ92" s="307">
        <v>849005</v>
      </c>
      <c r="FA92" s="308">
        <f t="shared" si="77"/>
        <v>599.0932028014181</v>
      </c>
      <c r="FB92" s="308">
        <f t="shared" si="68"/>
        <v>1.5817836284972382</v>
      </c>
      <c r="FD92" s="101"/>
      <c r="FE92" s="101"/>
      <c r="FF92" s="101"/>
      <c r="FG92" s="101"/>
      <c r="FH92" s="101"/>
      <c r="FI92" s="374"/>
      <c r="FJ92" s="404"/>
      <c r="FK92" s="404"/>
    </row>
    <row r="93" spans="1:167" ht="25">
      <c r="A93" s="205" t="s">
        <v>13</v>
      </c>
      <c r="B93" s="205" t="s">
        <v>13</v>
      </c>
      <c r="C93" s="201">
        <f>$K34*KTDB_TripDistribution_2045!T$12</f>
        <v>31.057096572853599</v>
      </c>
      <c r="D93" s="201">
        <f>$K34*KTDB_TripDistribution_2045!U$12</f>
        <v>224.76656161142307</v>
      </c>
      <c r="E93" s="201">
        <f>$K34*KTDB_TripDistribution_2045!V$12</f>
        <v>12.894301295688875</v>
      </c>
      <c r="F93" s="201">
        <f>$K34*KTDB_TripDistribution_2045!W$12</f>
        <v>2.0263438390291613E-2</v>
      </c>
      <c r="G93" s="201">
        <f>$K34*KTDB_TripDistribution_2045!X$12</f>
        <v>7.6550767252212701E-2</v>
      </c>
      <c r="H93" s="201">
        <f>$K34*KTDB_TripDistribution_2045!Y$12</f>
        <v>268.81477368560803</v>
      </c>
      <c r="K93" s="206" t="s">
        <v>13</v>
      </c>
      <c r="L93" s="206" t="s">
        <v>13</v>
      </c>
      <c r="M93" s="206">
        <f>INDEX($A$87:$H$100,MATCH($L93,$B$87:$B$100,0),MATCH($M$86,$A$87:$H$87,0))*고양시_Modal_split!C$3 * 0.01</f>
        <v>8.6959870403990072E-2</v>
      </c>
      <c r="N93" s="206">
        <f>INDEX($A$87:$H$100,MATCH($L93,$B$87:$B$100,0),MATCH($M$86,$A$87:$H$87,0))*고양시_Modal_split!D$3 * 0.01</f>
        <v>14.606152518213049</v>
      </c>
      <c r="O93" s="206">
        <f>INDEX($A$87:$H$100,MATCH($L93,$B$87:$B$100,0),MATCH($M$86,$A$87:$H$87,0))*고양시_Modal_split!E$3 * 0.01</f>
        <v>1.7671487949953695</v>
      </c>
      <c r="P93" s="206">
        <f>INDEX($A$87:$H$100,MATCH($L93,$B$87:$B$100,0),MATCH($M$86,$A$87:$H$87,0))*고양시_Modal_split!F$3 * 0.01</f>
        <v>2.8479357557306746</v>
      </c>
      <c r="Q93" s="206">
        <f>INDEX($A$87:$H$100,MATCH($L93,$B$87:$B$100,0),MATCH($M$86,$A$87:$H$87,0))*고양시_Modal_split!G$3 * 0.01</f>
        <v>0.28572528847025308</v>
      </c>
      <c r="R93" s="206">
        <f>INDEX($A$87:$H$100,MATCH($L93,$B$87:$B$100,0),MATCH($M$86,$A$87:$H$87,0))*고양시_Modal_split!H$3 * 0.01</f>
        <v>3.1057096572853597E-3</v>
      </c>
      <c r="S93" s="206">
        <f>INDEX($A$87:$H$100,MATCH($L93,$B$87:$B$100,0),MATCH($M$86,$A$87:$H$87,0))*고양시_Modal_split!I$3 * 0.01</f>
        <v>0.86338728472532988</v>
      </c>
      <c r="T93" s="206">
        <f>INDEX($A$87:$H$100,MATCH($L93,$B$87:$B$100,0),MATCH($M$86,$A$87:$H$87,0))*고양시_Modal_split!J$3 * 0.01</f>
        <v>9.4537801967766359</v>
      </c>
      <c r="U93" s="206">
        <f>INDEX($A$87:$H$100,MATCH($L93,$B$87:$B$100,0),MATCH($M$86,$A$87:$H$87,0))*고양시_Modal_split!K$3 * 0.01</f>
        <v>4.6585644859280392E-2</v>
      </c>
      <c r="V93" s="206">
        <f>INDEX($A$87:$H$100,MATCH($L93,$B$87:$B$100,0),MATCH($M$86,$A$87:$H$87,0))*고양시_Modal_split!L$3 * 0.01</f>
        <v>0.93792431650017871</v>
      </c>
      <c r="W93" s="206">
        <f>INDEX($A$87:$H$100,MATCH($L93,$B$87:$B$100,0),MATCH($M$86,$A$87:$H$87,0))*고양시_Modal_split!M$3 * 0.01</f>
        <v>7.143132211756327E-2</v>
      </c>
      <c r="X93" s="206">
        <f>INDEX($A$87:$H$100,MATCH($L93,$B$87:$B$100,0),MATCH($M$86,$A$87:$H$87,0))*고양시_Modal_split!N$3 * 0.01</f>
        <v>3.1057096572853601E-2</v>
      </c>
      <c r="Y93" s="206">
        <f>INDEX($A$87:$H$100,MATCH($L93,$B$87:$B$100,0),MATCH($M$86,$A$87:$H$87,0))*고양시_Modal_split!O$3 * 0.01</f>
        <v>5.5902773831136482E-2</v>
      </c>
      <c r="Z93" s="209">
        <f>INDEX($A$87:$H$100,MATCH($L93,$B$87:$B$100,0),MATCH($M$86,$A$87:$H$87,0))*고양시_Modal_split!P$3 * 0.01</f>
        <v>31.057096572853599</v>
      </c>
      <c r="AA93" s="207">
        <f>INDEX($A$87:$H$100,MATCH($L93,$B$87:$B$100,0),MATCH($AA$86,$A$87:$H$87,0))*고양시_Modal_split!C$3 * 0.01</f>
        <v>0.62934637251198455</v>
      </c>
      <c r="AB93" s="207">
        <f>INDEX($A$87:$H$100,MATCH($L93,$B$87:$B$100,0),MATCH($AA$86,$A$87:$H$87,0))*고양시_Modal_split!D$3 * 0.01</f>
        <v>105.70771392585227</v>
      </c>
      <c r="AC93" s="207">
        <f>INDEX($A$87:$H$100,MATCH($L93,$B$87:$B$100,0),MATCH($AA$86,$A$87:$H$87,0))*고양시_Modal_split!E$3 * 0.01</f>
        <v>12.789217355689971</v>
      </c>
      <c r="AD93" s="207">
        <f>INDEX($A$87:$H$100,MATCH($L93,$B$87:$B$100,0),MATCH($AA$86,$A$87:$H$87,0))*고양시_Modal_split!F$3 * 0.01</f>
        <v>20.611093699767494</v>
      </c>
      <c r="AE93" s="207">
        <f>INDEX($A$87:$H$100,MATCH($L93,$B$87:$B$100,0),MATCH($AA$86,$A$87:$H$87,0))*고양시_Modal_split!G$3 * 0.01</f>
        <v>2.0678523668250923</v>
      </c>
      <c r="AF93" s="207">
        <f>INDEX($A$87:$H$100,MATCH($L93,$B$87:$B$100,0),MATCH($AA$86,$A$87:$H$87,0))*고양시_Modal_split!H$3 * 0.01</f>
        <v>2.2476656161142309E-2</v>
      </c>
      <c r="AG93" s="207">
        <f>INDEX($A$87:$H$100,MATCH($L93,$B$87:$B$100,0),MATCH($AA$86,$A$87:$H$87,0))*고양시_Modal_split!I$3 * 0.01</f>
        <v>6.2485104127975619</v>
      </c>
      <c r="AH93" s="207">
        <f>INDEX($A$87:$H$100,MATCH($L93,$B$87:$B$100,0),MATCH($AA$86,$A$87:$H$87,0))*고양시_Modal_split!J$3 * 0.01</f>
        <v>68.418941354517187</v>
      </c>
      <c r="AI93" s="207">
        <f>INDEX($A$87:$H$100,MATCH($L93,$B$87:$B$100,0),MATCH($AA$86,$A$87:$H$87,0))*고양시_Modal_split!K$3 * 0.01</f>
        <v>0.33714984241713458</v>
      </c>
      <c r="AJ93" s="207">
        <f>INDEX($A$87:$H$100,MATCH($L93,$B$87:$B$100,0),MATCH($AA$86,$A$87:$H$87,0))*고양시_Modal_split!L$3 * 0.01</f>
        <v>6.7879501606649768</v>
      </c>
      <c r="AK93" s="207">
        <f>INDEX($A$87:$H$100,MATCH($L93,$B$87:$B$100,0),MATCH($AA$86,$A$87:$H$87,0))*고양시_Modal_split!M$3 * 0.01</f>
        <v>0.51696309170627308</v>
      </c>
      <c r="AL93" s="207">
        <f>INDEX($A$87:$H$100,MATCH($L93,$B$87:$B$100,0),MATCH($AA$86,$A$87:$H$87,0))*고양시_Modal_split!N$3 * 0.01</f>
        <v>0.22476656161142308</v>
      </c>
      <c r="AM93" s="207">
        <f>INDEX($A$87:$H$100,MATCH($L93,$B$87:$B$100,0),MATCH($AA$86,$A$87:$H$87,0))*고양시_Modal_split!O$3 * 0.01</f>
        <v>0.4045798109005615</v>
      </c>
      <c r="AN93" s="207">
        <f>INDEX($A$87:$H$100,MATCH($L93,$B$87:$B$100,0),MATCH($AA$86,$A$87:$H$87,0))*고양시_Modal_split!P$3 * 0.01</f>
        <v>224.76656161142307</v>
      </c>
      <c r="AO93" s="303">
        <f>INDEX($A$87:$H$100,MATCH($L93,$B$87:$B$100,0),MATCH($AO$86,$A$87:$H$87,0))*고양시_Modal_split!C$3 * 0.01</f>
        <v>3.6104043627928843E-2</v>
      </c>
      <c r="AP93" s="303">
        <f>INDEX($A$87:$H$100,MATCH($L93,$B$87:$B$100,0),MATCH($AO$86,$A$87:$H$87,0))*고양시_Modal_split!D$3 * 0.01</f>
        <v>6.0641898993624785</v>
      </c>
      <c r="AQ93" s="303">
        <f>INDEX($A$87:$H$100,MATCH($L93,$B$87:$B$100,0),MATCH($AO$86,$A$87:$H$87,0))*고양시_Modal_split!E$3 * 0.01</f>
        <v>0.73368574372469697</v>
      </c>
      <c r="AR93" s="303">
        <f>INDEX($A$87:$H$100,MATCH($L93,$B$87:$B$100,0),MATCH($AO$86,$A$87:$H$87,0))*고양시_Modal_split!F$3 * 0.01</f>
        <v>1.18240742881467</v>
      </c>
      <c r="AS93" s="303">
        <f>INDEX($A$87:$H$100,MATCH($L93,$B$87:$B$100,0),MATCH($AO$86,$A$87:$H$87,0))*고양시_Modal_split!G$3 * 0.01</f>
        <v>0.11862757192033764</v>
      </c>
      <c r="AT93" s="303">
        <f>INDEX($A$87:$H$100,MATCH($L93,$B$87:$B$100,0),MATCH($AO$86,$A$87:$H$87,0))*고양시_Modal_split!H$3 * 0.01</f>
        <v>1.2894301295688876E-3</v>
      </c>
      <c r="AU93" s="303">
        <f>INDEX($A$87:$H$100,MATCH($L93,$B$87:$B$100,0),MATCH($AO$86,$A$87:$H$87,0))*고양시_Modal_split!I$3 * 0.01</f>
        <v>0.35846157602015072</v>
      </c>
      <c r="AV93" s="303">
        <f>INDEX($A$87:$H$100,MATCH($L93,$B$87:$B$100,0),MATCH($AO$86,$A$87:$H$87,0))*고양시_Modal_split!J$3 * 0.01</f>
        <v>3.9250253144076939</v>
      </c>
      <c r="AW93" s="303">
        <f>INDEX($A$87:$H$100,MATCH($L93,$B$87:$B$100,0),MATCH($AO$86,$A$87:$H$87,0))*고양시_Modal_split!K$3 * 0.01</f>
        <v>1.9341451943533313E-2</v>
      </c>
      <c r="AX93" s="303">
        <f>INDEX($A$87:$H$100,MATCH($L93,$B$87:$B$100,0),MATCH($AO$86,$A$87:$H$87,0))*고양시_Modal_split!L$3 * 0.01</f>
        <v>0.389407899129804</v>
      </c>
      <c r="AY93" s="303">
        <f>INDEX($A$87:$H$100,MATCH($L93,$B$87:$B$100,0),MATCH($AO$86,$A$87:$H$87,0))*고양시_Modal_split!M$3 * 0.01</f>
        <v>2.965689298008441E-2</v>
      </c>
      <c r="AZ93" s="303">
        <f>INDEX($A$87:$H$100,MATCH($L93,$B$87:$B$100,0),MATCH($AO$86,$A$87:$H$87,0))*고양시_Modal_split!N$3 * 0.01</f>
        <v>1.2894301295688875E-2</v>
      </c>
      <c r="BA93" s="207">
        <f>INDEX($A$87:$H$100,MATCH($L93,$B$87:$B$100,0),MATCH($AO$86,$A$87:$H$87,0))*고양시_Modal_split!O$3 * 0.01</f>
        <v>2.3209742332239977E-2</v>
      </c>
      <c r="BB93" s="207">
        <f>INDEX($A$87:$H$100,MATCH($L93,$B$87:$B$100,0),MATCH($AO$86,$A$87:$H$87,0))*고양시_Modal_split!P$3 * 0.01</f>
        <v>12.894301295688875</v>
      </c>
      <c r="BC93" s="207">
        <f>INDEX($A$87:$H$100,MATCH($L93,$B$87:$B$100,0),MATCH($BC$86,$A$87:$H$87,0))*고양시_Modal_split!C$3 * 0.01</f>
        <v>5.6737627492816512E-5</v>
      </c>
      <c r="BD93" s="207">
        <f>INDEX($A$87:$H$100,MATCH($L93,$B$87:$B$100,0),MATCH($BC$86,$A$87:$H$87,0))*고양시_Modal_split!D$3 * 0.01</f>
        <v>9.5298950749541454E-3</v>
      </c>
      <c r="BE93" s="207">
        <f>INDEX($A$87:$H$100,MATCH($L93,$B$87:$B$100,0),MATCH($BC$86,$A$87:$H$87,0))*고양시_Modal_split!E$3 * 0.01</f>
        <v>1.1529896444075927E-3</v>
      </c>
      <c r="BF93" s="207">
        <f>INDEX($A$87:$H$100,MATCH($L93,$B$87:$B$100,0),MATCH($BC$86,$A$87:$H$87,0))*고양시_Modal_split!F$3 * 0.01</f>
        <v>1.8581573003897409E-3</v>
      </c>
      <c r="BG93" s="207">
        <f>INDEX($A$87:$H$100,MATCH($L93,$B$87:$B$100,0),MATCH($BC$86,$A$87:$H$87,0))*고양시_Modal_split!G$3 * 0.01</f>
        <v>1.8642363319068284E-4</v>
      </c>
      <c r="BH93" s="207">
        <f>INDEX($A$87:$H$100,MATCH($L93,$B$87:$B$100,0),MATCH($BC$86,$A$87:$H$87,0))*고양시_Modal_split!H$3 * 0.01</f>
        <v>2.0263438390291615E-6</v>
      </c>
      <c r="BI93" s="207">
        <f>INDEX($A$87:$H$100,MATCH($L93,$B$87:$B$100,0),MATCH($BC$86,$A$87:$H$87,0))*고양시_Modal_split!I$3 * 0.01</f>
        <v>5.6332358725010685E-4</v>
      </c>
      <c r="BJ93" s="207">
        <f>INDEX($A$87:$H$100,MATCH($L93,$B$87:$B$100,0),MATCH($BC$86,$A$87:$H$87,0))*고양시_Modal_split!J$3 * 0.01</f>
        <v>6.1681906460047675E-3</v>
      </c>
      <c r="BK93" s="207">
        <f>INDEX($A$87:$H$100,MATCH($L93,$B$87:$B$100,0),MATCH($BC$86,$A$87:$H$87,0))*고양시_Modal_split!K$3 * 0.01</f>
        <v>3.0395157585437419E-5</v>
      </c>
      <c r="BL93" s="207">
        <f>INDEX($A$87:$H$100,MATCH($L93,$B$87:$B$100,0),MATCH($BC$86,$A$87:$H$87,0))*고양시_Modal_split!L$3 * 0.01</f>
        <v>6.1195583938680677E-4</v>
      </c>
      <c r="BM93" s="207">
        <f>INDEX($A$87:$H$100,MATCH($L93,$B$87:$B$100,0),MATCH($BC$86,$A$87:$H$87,0))*고양시_Modal_split!M$3 * 0.01</f>
        <v>4.6605908297670711E-5</v>
      </c>
      <c r="BN93" s="207">
        <f>INDEX($A$87:$H$100,MATCH($L93,$B$87:$B$100,0),MATCH($BC$86,$A$87:$H$87,0))*고양시_Modal_split!N$3 * 0.01</f>
        <v>2.0263438390291617E-5</v>
      </c>
      <c r="BO93" s="207">
        <f>INDEX($A$87:$H$100,MATCH($L93,$B$87:$B$100,0),MATCH($BC$86,$A$87:$H$87,0))*고양시_Modal_split!O$3 * 0.01</f>
        <v>3.6474189102524902E-5</v>
      </c>
      <c r="BP93" s="207">
        <f>INDEX($A$87:$H$100,MATCH($L93,$B$87:$B$100,0),MATCH($BC$86,$A$87:$H$87,0))*고양시_Modal_split!P$3 * 0.01</f>
        <v>2.0263438390291617E-2</v>
      </c>
      <c r="BQ93" s="207">
        <f>INDEX($A$87:$H$100,MATCH($L93,$B$87:$B$100,0),MATCH($BQ$86,$A$87:$H$87,0))*고양시_Modal_split!C$3 * 0.01</f>
        <v>2.1434214830619552E-4</v>
      </c>
      <c r="BR93" s="207">
        <f>INDEX($A$87:$H$100,MATCH($L93,$B$87:$B$100,0),MATCH($BQ$86,$A$87:$H$87,0))*고양시_Modal_split!D$3 * 0.01</f>
        <v>3.6001825838715633E-2</v>
      </c>
      <c r="BS93" s="207">
        <f>INDEX($A$87:$H$100,MATCH($L93,$B$87:$B$100,0),MATCH($BQ$86,$A$87:$H$87,0))*고양시_Modal_split!E$3 * 0.01</f>
        <v>4.3557386566509025E-3</v>
      </c>
      <c r="BT93" s="207">
        <f>INDEX($A$87:$H$100,MATCH($L93,$B$87:$B$100,0),MATCH($BQ$86,$A$87:$H$87,0))*고양시_Modal_split!F$3 * 0.01</f>
        <v>7.0197053570279049E-3</v>
      </c>
      <c r="BU93" s="207">
        <f>INDEX($A$87:$H$100,MATCH($L93,$B$87:$B$100,0),MATCH($BQ$86,$A$87:$H$87,0))*고양시_Modal_split!G$3 * 0.01</f>
        <v>7.0426705872035688E-4</v>
      </c>
      <c r="BV93" s="207">
        <f>INDEX($A$87:$H$100,MATCH($L93,$B$87:$B$100,0),MATCH($BQ$86,$A$87:$H$87,0))*고양시_Modal_split!H$3 * 0.01</f>
        <v>7.6550767252212695E-6</v>
      </c>
      <c r="BW93" s="207">
        <f>INDEX($A$87:$H$100,MATCH($L93,$B$87:$B$100,0),MATCH($BQ$86,$A$87:$H$87,0))*고양시_Modal_split!I$3 * 0.01</f>
        <v>2.1281113296115128E-3</v>
      </c>
      <c r="BX93" s="207">
        <f>INDEX($A$87:$H$100,MATCH($L93,$B$87:$B$100,0),MATCH($BQ$86,$A$87:$H$87,0))*고양시_Modal_split!J$3 * 0.01</f>
        <v>2.3302053551573547E-2</v>
      </c>
      <c r="BY93" s="207">
        <f>INDEX($A$87:$H$100,MATCH($L93,$B$87:$B$100,0),MATCH($BQ$86,$A$87:$H$87,0))*고양시_Modal_split!K$3 * 0.01</f>
        <v>1.1482615087831905E-4</v>
      </c>
      <c r="BZ93" s="207">
        <f>INDEX($A$87:$H$100,MATCH($L93,$B$87:$B$100,0),MATCH($BQ$86,$A$87:$H$87,0))*고양시_Modal_split!L$3 * 0.01</f>
        <v>2.3118331710168236E-3</v>
      </c>
      <c r="CA93" s="207">
        <f>INDEX($A$87:$H$100,MATCH($L93,$B$87:$B$100,0),MATCH($BQ$86,$A$87:$H$87,0))*고양시_Modal_split!M$3 * 0.01</f>
        <v>1.7606676468008922E-4</v>
      </c>
      <c r="CB93" s="207">
        <f>INDEX($A$87:$H$100,MATCH($L93,$B$87:$B$100,0),MATCH($BQ$86,$A$87:$H$87,0))*고양시_Modal_split!N$3 * 0.01</f>
        <v>7.6550767252212709E-5</v>
      </c>
      <c r="CC93" s="207">
        <f>INDEX($A$87:$H$100,MATCH($L93,$B$87:$B$100,0),MATCH($BQ$86,$A$87:$H$87,0))*고양시_Modal_split!O$3 * 0.01</f>
        <v>1.3779138105398286E-4</v>
      </c>
      <c r="CD93" s="207">
        <f>INDEX($A$87:$H$100,MATCH($L93,$B$87:$B$100,0),MATCH($BQ$86,$A$87:$H$87,0))*고양시_Modal_split!P$3 * 0.01</f>
        <v>7.6550767252212701E-2</v>
      </c>
      <c r="CE93" s="304">
        <f t="shared" si="69"/>
        <v>0.75268136631970251</v>
      </c>
      <c r="CF93" s="304">
        <f t="shared" si="51"/>
        <v>126.42358806434146</v>
      </c>
      <c r="CG93" s="304">
        <f t="shared" si="52"/>
        <v>15.295560622711097</v>
      </c>
      <c r="CH93" s="304">
        <f t="shared" si="53"/>
        <v>24.650314746970256</v>
      </c>
      <c r="CI93" s="304">
        <f t="shared" si="54"/>
        <v>2.4730959179075942</v>
      </c>
      <c r="CJ93" s="304">
        <f t="shared" si="55"/>
        <v>2.6881477368560808E-2</v>
      </c>
      <c r="CK93" s="304">
        <f t="shared" si="56"/>
        <v>7.4730507084599038</v>
      </c>
      <c r="CL93" s="304">
        <f t="shared" si="57"/>
        <v>81.827217109899095</v>
      </c>
      <c r="CM93" s="304">
        <f t="shared" si="58"/>
        <v>0.40322216052841209</v>
      </c>
      <c r="CN93" s="304">
        <f t="shared" si="59"/>
        <v>8.1182061653053648</v>
      </c>
      <c r="CO93" s="304">
        <f t="shared" si="60"/>
        <v>0.61827397947689855</v>
      </c>
      <c r="CP93" s="304">
        <f t="shared" si="61"/>
        <v>0.26881477368560802</v>
      </c>
      <c r="CQ93" s="304">
        <f t="shared" si="62"/>
        <v>0.48386659263409448</v>
      </c>
      <c r="CR93" s="304">
        <f t="shared" si="63"/>
        <v>268.81477368560809</v>
      </c>
      <c r="CS93" s="305">
        <f t="shared" si="70"/>
        <v>0</v>
      </c>
      <c r="CV93" s="267" t="s">
        <v>13</v>
      </c>
      <c r="CW93" s="267" t="s">
        <v>13</v>
      </c>
      <c r="CX93" s="267">
        <f>INDEX($M$86:$Z$100,MATCH($CW93,$L$86:$L$100,0),MATCH(CX$87,$M$87:$Z$87,0))/INDEX(고양시_재차인원!$D$4:$H$35,MATCH("고양시",고양시_재차인원!$B$4:$B$35,0),MATCH($CX$86,고양시_재차인원!$D$4:$H$4,0))</f>
        <v>13.041207605547363</v>
      </c>
      <c r="CY93" s="267">
        <f>INDEX($M$86:$Z$100,MATCH($CW93,$L$86:$L$100,0),MATCH(CY$87,$M$87:$Z$87,0))/INDEX(고양시_재차인원!$K$4:$O$20,MATCH("경기도",고양시_재차인원!$K$4:$K$20,0),MATCH($CY$87,고양시_재차인원!$K$4:$O$4,0))</f>
        <v>1.0787459733537199E-4</v>
      </c>
      <c r="CZ93" s="267">
        <f>INDEX($M$86:$Z$100,MATCH($CW93,$L$86:$L$100,0),MATCH(CZ$87,$M$87:$Z$87,0))/INDEX(고양시_재차인원!$K$4:$O$20,MATCH("경기도",고양시_재차인원!$K$4:$K$20,0),MATCH($CZ$87,고양시_재차인원!$K$4:$O$4,0))</f>
        <v>2.9989138059233412E-2</v>
      </c>
      <c r="DA93" s="267">
        <f>INDEX($M$86:$Z$100,MATCH($CW93,$L$86:$L$100,0),MATCH(DA$87,$M$87:$Z$87,0))/INDEX(고양시_재차인원!$D$4:$H$35,MATCH("고양시",고양시_재차인원!$B$4:$B$35,0),MATCH($CX$86,고양시_재차인원!$D$4:$H$4,0))</f>
        <v>0.83743242544658802</v>
      </c>
      <c r="DB93" s="267">
        <f>INDEX($AA$86:$AN$100,MATCH($CW93,$L$86:$L$100,0),MATCH(DB$87,$AA$87:$AN$87,0))/INDEX(고양시_재차인원!$D$4:$H$35,MATCH("고양시",고양시_재차인원!$B$4:$B$35,0),MATCH($DB$86,고양시_재차인원!$D$4:$H$4,0))</f>
        <v>74.970009876490977</v>
      </c>
      <c r="DC93" s="267">
        <f>INDEX($AA$86:$AN$100,MATCH($CW93,$L$86:$L$100,0),MATCH(DC$87,$AA$87:$AN$87,0))/INDEX(고양시_재차인원!$K$4:$O$20,MATCH("경기도",고양시_재차인원!$K$4:$K$20,0),MATCH(DC$87,고양시_재차인원!$K$4:$O$4,0))</f>
        <v>7.8071053008483182E-4</v>
      </c>
      <c r="DD93" s="267">
        <f>INDEX($AA$86:$AN$100,MATCH($CW93,$L$86:$L$100,0),MATCH(DD$87,$AA$87:$AN$87,0))/INDEX(고양시_재차인원!$K$4:$O$20,MATCH("경기도",고양시_재차인원!$K$4:$K$20,0),MATCH(DD$87,고양시_재차인원!$K$4:$O$4,0))</f>
        <v>0.21703752736358325</v>
      </c>
      <c r="DE93" s="267">
        <f>INDEX($AA$86:$AN$100,MATCH($CW93,$L$86:$L$100,0),MATCH(DE$87,$AA$87:$AN$87,0))/INDEX(고양시_재차인원!$D$4:$H$35,MATCH("고양시",고양시_재차인원!$B$4:$B$35,0),MATCH($DB$86,고양시_재차인원!$D$4:$H$4,0))</f>
        <v>4.8141490501170052</v>
      </c>
      <c r="DF93" s="267">
        <f>INDEX($AO$86:$BB$100,MATCH($CW93,$L$86:$L$100,0),MATCH(DF$87,$AO$87:$BB$87,0))/INDEX(고양시_재차인원!$D$4:$H$35,MATCH("고양시",고양시_재차인원!$B$4:$B$35,0),MATCH($DF$86,고양시_재차인원!$D$4:$H$4,0))</f>
        <v>4.6647614610480606</v>
      </c>
      <c r="DG93" s="267">
        <f>INDEX($AO$86:$BB$100,MATCH($CW93,$L$86:$L$100,0),MATCH(DG$87,$AO$87:$BB$87,0))/INDEX(고양시_재차인원!$K$4:$O$20,MATCH("경기도",고양시_재차인원!$K$4:$K$20,0),MATCH(DG$87,고양시_재차인원!$K$4:$O$4,0))</f>
        <v>4.4787430690131559E-5</v>
      </c>
      <c r="DH93" s="267">
        <f>INDEX($AO$86:$BB$100,MATCH($CW93,$L$86:$L$100,0),MATCH(DH$87,$AO$87:$BB$87,0))/INDEX(고양시_재차인원!$K$4:$O$20,MATCH("경기도",고양시_재차인원!$K$4:$K$20,0),MATCH(DH$87,고양시_재차인원!$K$4:$O$4,0))</f>
        <v>1.2450905731856574E-2</v>
      </c>
      <c r="DI93" s="267">
        <f>INDEX($AO$86:$BB$100,MATCH($CW93,$L$86:$L$100,0),MATCH(DI$87,$AO$87:$BB$87,0))/INDEX(고양시_재차인원!$D$4:$H$35,MATCH("고양시",고양시_재차인원!$B$4:$B$35,0),MATCH($DF$86,고양시_재차인원!$D$4:$H$4,0))</f>
        <v>0.2995445377921569</v>
      </c>
      <c r="DJ93" s="267">
        <f>INDEX($BC$86:$BP$100,MATCH($CW93,$L$86:$L$100,0),MATCH(DJ$87,$BC$87:$BP$87,0))/INDEX(고양시_재차인원!$D$4:$H$35,MATCH("고양시",고양시_재차인원!$B$4:$B$35,0),MATCH($DJ$86,고양시_재차인원!$D$4:$H$4,0))</f>
        <v>7.0072757904074594E-3</v>
      </c>
      <c r="DK93" s="267">
        <f>INDEX($BC$86:$BP$100,MATCH($CW93,$L$86:$L$100,0),MATCH(DK$87,$BC$87:$BP$87,0))/INDEX(고양시_재차인원!$K$4:$O$20,MATCH("경기도",고양시_재차인원!$K$4:$K$20,0),MATCH(DK$87,고양시_재차인원!$K$4:$O$4,0))</f>
        <v>7.0383599827341487E-8</v>
      </c>
      <c r="DL93" s="267">
        <f>INDEX($BC$86:$BP$100,MATCH($CW93,$L$86:$L$100,0),MATCH(DL$87,$BC$87:$BP$87,0))/INDEX(고양시_재차인원!$K$4:$O$20,MATCH("경기도",고양시_재차인원!$K$4:$K$20,0),MATCH(DL$87,고양시_재차인원!$K$4:$O$4,0))</f>
        <v>1.9566640752000932E-5</v>
      </c>
      <c r="DM93" s="267">
        <f>INDEX($BC$86:$BP$100,MATCH($CW93,$L$86:$L$100,0),MATCH(DM$87,$BC$87:$BP$87,0))/INDEX(고양시_재차인원!$D$4:$H$35,MATCH("고양시",고양시_재차인원!$B$4:$B$35,0),MATCH($DJ$86,고양시_재차인원!$D$4:$H$4,0))</f>
        <v>4.4996752896088731E-4</v>
      </c>
      <c r="DN93" s="267">
        <f>INDEX($BQ$86:$CD$100,MATCH($CW93,$L$86:$L$100,0),MATCH(DN$87,$BQ$87:$CD$87,0))/INDEX(고양시_재차인원!$D$4:$H$35,MATCH("고양시",고양시_재차인원!$B$4:$B$35,0),MATCH($DN$86,고양시_재차인원!$D$4:$H$4,0))</f>
        <v>2.8572877649774311E-2</v>
      </c>
      <c r="DO93" s="267">
        <f>INDEX($BQ$86:$CD$100,MATCH($CW93,$L$86:$L$100,0),MATCH(DO$87,$BQ$87:$CD$87,0))/INDEX(고양시_재차인원!$K$4:$O$20,MATCH("경기도",고양시_재차인원!$K$4:$K$20,0),MATCH(DO$87,고양시_재차인원!$K$4:$O$4,0))</f>
        <v>2.6589359934773428E-7</v>
      </c>
      <c r="DP93" s="267">
        <f>INDEX($BQ$86:$CD$100,MATCH($CW93,$L$86:$L$100,0),MATCH(DP$87,$BQ$87:$CD$87,0))/INDEX(고양시_재차인원!$K$4:$O$20,MATCH("경기도",고양시_재차인원!$K$4:$K$20,0),MATCH(DP$87,고양시_재차인원!$K$4:$O$4,0))</f>
        <v>7.3918420618670122E-5</v>
      </c>
      <c r="DQ93" s="267">
        <f>INDEX($BQ$86:$CD$100,MATCH($CW93,$L$86:$L$100,0),MATCH(DQ$87,$BQ$87:$CD$87,0))/INDEX(고양시_재차인원!$D$4:$H$35,MATCH("고양시",고양시_재차인원!$B$4:$B$35,0),MATCH($DN$86,고양시_재차인원!$D$4:$H$4,0))</f>
        <v>1.834788230965733E-3</v>
      </c>
      <c r="DR93" s="270">
        <f t="shared" si="71"/>
        <v>92.711559096526599</v>
      </c>
      <c r="DS93" s="270">
        <f t="shared" si="64"/>
        <v>9.3370883530951058E-4</v>
      </c>
      <c r="DT93" s="270">
        <f t="shared" si="65"/>
        <v>0.25957105621604387</v>
      </c>
      <c r="DU93" s="270">
        <f t="shared" si="66"/>
        <v>5.9534107691156759</v>
      </c>
      <c r="DW93" s="278" t="s">
        <v>13</v>
      </c>
      <c r="DX93" s="278" t="s">
        <v>13</v>
      </c>
      <c r="DY93" s="281">
        <f t="shared" si="72"/>
        <v>98.664969865642277</v>
      </c>
      <c r="DZ93" s="281">
        <f t="shared" si="73"/>
        <v>0.26050476505135339</v>
      </c>
      <c r="EB93" s="278" t="s">
        <v>13</v>
      </c>
      <c r="EC93" s="278" t="s">
        <v>13</v>
      </c>
      <c r="ED93" s="281">
        <f t="shared" ref="ED93" si="79">DY93</f>
        <v>98.664969865642277</v>
      </c>
      <c r="EE93" s="281">
        <f t="shared" si="78"/>
        <v>0.26050476505135339</v>
      </c>
      <c r="EK93" s="420" t="s">
        <v>622</v>
      </c>
      <c r="EL93" s="420" t="s">
        <v>640</v>
      </c>
      <c r="EM93" s="420" t="s">
        <v>221</v>
      </c>
      <c r="EN93" s="420">
        <v>32098.9882</v>
      </c>
      <c r="EO93" s="420">
        <v>1</v>
      </c>
      <c r="EP93" s="421">
        <v>849006</v>
      </c>
      <c r="EQ93" s="422">
        <f t="shared" si="75"/>
        <v>610.79265756895745</v>
      </c>
      <c r="ER93" s="422">
        <f t="shared" si="76"/>
        <v>1.612673656838574</v>
      </c>
      <c r="ES93">
        <v>0</v>
      </c>
      <c r="EU93" s="306" t="s">
        <v>622</v>
      </c>
      <c r="EV93" s="306" t="s">
        <v>201</v>
      </c>
      <c r="EW93" s="306" t="s">
        <v>221</v>
      </c>
      <c r="EX93" s="306">
        <v>32098.9882</v>
      </c>
      <c r="EY93" s="306">
        <v>1</v>
      </c>
      <c r="EZ93" s="307">
        <v>849006</v>
      </c>
      <c r="FA93" s="308">
        <f t="shared" si="77"/>
        <v>610.79265756895745</v>
      </c>
      <c r="FB93" s="308">
        <f t="shared" si="68"/>
        <v>1.612673656838574</v>
      </c>
      <c r="FD93" s="101"/>
      <c r="FE93" s="101"/>
      <c r="FF93" s="101"/>
      <c r="FG93" s="101"/>
      <c r="FH93" s="101"/>
      <c r="FI93" s="374"/>
      <c r="FJ93" s="404"/>
      <c r="FK93" s="404"/>
    </row>
    <row r="94" spans="1:167">
      <c r="A94" s="205" t="s">
        <v>167</v>
      </c>
      <c r="B94" s="205" t="s">
        <v>167</v>
      </c>
      <c r="C94" s="201">
        <f>$K35*KTDB_TripDistribution_2045!T$12</f>
        <v>128.74776429685485</v>
      </c>
      <c r="D94" s="201">
        <f>$K35*KTDB_TripDistribution_2045!U$12</f>
        <v>931.77390965311008</v>
      </c>
      <c r="E94" s="201">
        <f>$K35*KTDB_TripDistribution_2045!V$12</f>
        <v>53.453562862700217</v>
      </c>
      <c r="F94" s="201">
        <f>$K35*KTDB_TripDistribution_2045!W$12</f>
        <v>8.4002456044054971E-2</v>
      </c>
      <c r="G94" s="201">
        <f>$K35*KTDB_TripDistribution_2045!X$12</f>
        <v>0.31734261172198519</v>
      </c>
      <c r="H94" s="201">
        <f>$K35*KTDB_TripDistribution_2045!Y$12</f>
        <v>1114.3765818804311</v>
      </c>
      <c r="I94" s="56"/>
      <c r="J94" s="56"/>
      <c r="K94" s="206" t="s">
        <v>167</v>
      </c>
      <c r="L94" s="206" t="s">
        <v>167</v>
      </c>
      <c r="M94" s="206">
        <f>INDEX($A$87:$H$100,MATCH($L94,$B$87:$B$100,0),MATCH($M$86,$A$87:$H$87,0))*고양시_Modal_split!C$3 * 0.01</f>
        <v>0.36049374003119355</v>
      </c>
      <c r="N94" s="206">
        <f>INDEX($A$87:$H$100,MATCH($L94,$B$87:$B$100,0),MATCH($M$86,$A$87:$H$87,0))*고양시_Modal_split!D$3 * 0.01</f>
        <v>60.550073548810843</v>
      </c>
      <c r="O94" s="206">
        <f>INDEX($A$87:$H$100,MATCH($L94,$B$87:$B$100,0),MATCH($M$86,$A$87:$H$87,0))*고양시_Modal_split!E$3 * 0.01</f>
        <v>7.3257477884910411</v>
      </c>
      <c r="P94" s="206">
        <f>INDEX($A$87:$H$100,MATCH($L94,$B$87:$B$100,0),MATCH($M$86,$A$87:$H$87,0))*고양시_Modal_split!F$3 * 0.01</f>
        <v>11.806169986021589</v>
      </c>
      <c r="Q94" s="206">
        <f>INDEX($A$87:$H$100,MATCH($L94,$B$87:$B$100,0),MATCH($M$86,$A$87:$H$87,0))*고양시_Modal_split!G$3 * 0.01</f>
        <v>1.1844794315310645</v>
      </c>
      <c r="R94" s="206">
        <f>INDEX($A$87:$H$100,MATCH($L94,$B$87:$B$100,0),MATCH($M$86,$A$87:$H$87,0))*고양시_Modal_split!H$3 * 0.01</f>
        <v>1.2874776429685486E-2</v>
      </c>
      <c r="S94" s="206">
        <f>INDEX($A$87:$H$100,MATCH($L94,$B$87:$B$100,0),MATCH($M$86,$A$87:$H$87,0))*고양시_Modal_split!I$3 * 0.01</f>
        <v>3.5791878474525647</v>
      </c>
      <c r="T94" s="206">
        <f>INDEX($A$87:$H$100,MATCH($L94,$B$87:$B$100,0),MATCH($M$86,$A$87:$H$87,0))*고양시_Modal_split!J$3 * 0.01</f>
        <v>39.190819451962618</v>
      </c>
      <c r="U94" s="206">
        <f>INDEX($A$87:$H$100,MATCH($L94,$B$87:$B$100,0),MATCH($M$86,$A$87:$H$87,0))*고양시_Modal_split!K$3 * 0.01</f>
        <v>0.19312164644528229</v>
      </c>
      <c r="V94" s="206">
        <f>INDEX($A$87:$H$100,MATCH($L94,$B$87:$B$100,0),MATCH($M$86,$A$87:$H$87,0))*고양시_Modal_split!L$3 * 0.01</f>
        <v>3.8881824817650164</v>
      </c>
      <c r="W94" s="206">
        <f>INDEX($A$87:$H$100,MATCH($L94,$B$87:$B$100,0),MATCH($M$86,$A$87:$H$87,0))*고양시_Modal_split!M$3 * 0.01</f>
        <v>0.29611985788276612</v>
      </c>
      <c r="X94" s="206">
        <f>INDEX($A$87:$H$100,MATCH($L94,$B$87:$B$100,0),MATCH($M$86,$A$87:$H$87,0))*고양시_Modal_split!N$3 * 0.01</f>
        <v>0.12874776429685486</v>
      </c>
      <c r="Y94" s="206">
        <f>INDEX($A$87:$H$100,MATCH($L94,$B$87:$B$100,0),MATCH($M$86,$A$87:$H$87,0))*고양시_Modal_split!O$3 * 0.01</f>
        <v>0.23174597573433872</v>
      </c>
      <c r="Z94" s="209">
        <f>INDEX($A$87:$H$100,MATCH($L94,$B$87:$B$100,0),MATCH($M$86,$A$87:$H$87,0))*고양시_Modal_split!P$3 * 0.01</f>
        <v>128.74776429685485</v>
      </c>
      <c r="AA94" s="207">
        <f>INDEX($A$87:$H$100,MATCH($L94,$B$87:$B$100,0),MATCH($AA$86,$A$87:$H$87,0))*고양시_Modal_split!C$3 * 0.01</f>
        <v>2.608966947028708</v>
      </c>
      <c r="AB94" s="207">
        <f>INDEX($A$87:$H$100,MATCH($L94,$B$87:$B$100,0),MATCH($AA$86,$A$87:$H$87,0))*고양시_Modal_split!D$3 * 0.01</f>
        <v>438.21326970985774</v>
      </c>
      <c r="AC94" s="207">
        <f>INDEX($A$87:$H$100,MATCH($L94,$B$87:$B$100,0),MATCH($AA$86,$A$87:$H$87,0))*고양시_Modal_split!E$3 * 0.01</f>
        <v>53.017935459261963</v>
      </c>
      <c r="AD94" s="207">
        <f>INDEX($A$87:$H$100,MATCH($L94,$B$87:$B$100,0),MATCH($AA$86,$A$87:$H$87,0))*고양시_Modal_split!F$3 * 0.01</f>
        <v>85.443667515190199</v>
      </c>
      <c r="AE94" s="207">
        <f>INDEX($A$87:$H$100,MATCH($L94,$B$87:$B$100,0),MATCH($AA$86,$A$87:$H$87,0))*고양시_Modal_split!G$3 * 0.01</f>
        <v>8.5723199688086122</v>
      </c>
      <c r="AF94" s="207">
        <f>INDEX($A$87:$H$100,MATCH($L94,$B$87:$B$100,0),MATCH($AA$86,$A$87:$H$87,0))*고양시_Modal_split!H$3 * 0.01</f>
        <v>9.3177390965311011E-2</v>
      </c>
      <c r="AG94" s="207">
        <f>INDEX($A$87:$H$100,MATCH($L94,$B$87:$B$100,0),MATCH($AA$86,$A$87:$H$87,0))*고양시_Modal_split!I$3 * 0.01</f>
        <v>25.90331468835646</v>
      </c>
      <c r="AH94" s="207">
        <f>INDEX($A$87:$H$100,MATCH($L94,$B$87:$B$100,0),MATCH($AA$86,$A$87:$H$87,0))*고양시_Modal_split!J$3 * 0.01</f>
        <v>283.63197809840671</v>
      </c>
      <c r="AI94" s="207">
        <f>INDEX($A$87:$H$100,MATCH($L94,$B$87:$B$100,0),MATCH($AA$86,$A$87:$H$87,0))*고양시_Modal_split!K$3 * 0.01</f>
        <v>1.3976608644796651</v>
      </c>
      <c r="AJ94" s="207">
        <f>INDEX($A$87:$H$100,MATCH($L94,$B$87:$B$100,0),MATCH($AA$86,$A$87:$H$87,0))*고양시_Modal_split!L$3 * 0.01</f>
        <v>28.139572071523926</v>
      </c>
      <c r="AK94" s="207">
        <f>INDEX($A$87:$H$100,MATCH($L94,$B$87:$B$100,0),MATCH($AA$86,$A$87:$H$87,0))*고양시_Modal_split!M$3 * 0.01</f>
        <v>2.1430799922021531</v>
      </c>
      <c r="AL94" s="207">
        <f>INDEX($A$87:$H$100,MATCH($L94,$B$87:$B$100,0),MATCH($AA$86,$A$87:$H$87,0))*고양시_Modal_split!N$3 * 0.01</f>
        <v>0.93177390965311024</v>
      </c>
      <c r="AM94" s="207">
        <f>INDEX($A$87:$H$100,MATCH($L94,$B$87:$B$100,0),MATCH($AA$86,$A$87:$H$87,0))*고양시_Modal_split!O$3 * 0.01</f>
        <v>1.6771930373755981</v>
      </c>
      <c r="AN94" s="207">
        <f>INDEX($A$87:$H$100,MATCH($L94,$B$87:$B$100,0),MATCH($AA$86,$A$87:$H$87,0))*고양시_Modal_split!P$3 * 0.01</f>
        <v>931.77390965311008</v>
      </c>
      <c r="AO94" s="303">
        <f>INDEX($A$87:$H$100,MATCH($L94,$B$87:$B$100,0),MATCH($AO$86,$A$87:$H$87,0))*고양시_Modal_split!C$3 * 0.01</f>
        <v>0.14966997601556059</v>
      </c>
      <c r="AP94" s="303">
        <f>INDEX($A$87:$H$100,MATCH($L94,$B$87:$B$100,0),MATCH($AO$86,$A$87:$H$87,0))*고양시_Modal_split!D$3 * 0.01</f>
        <v>25.139210614327911</v>
      </c>
      <c r="AQ94" s="303">
        <f>INDEX($A$87:$H$100,MATCH($L94,$B$87:$B$100,0),MATCH($AO$86,$A$87:$H$87,0))*고양시_Modal_split!E$3 * 0.01</f>
        <v>3.0415077268876423</v>
      </c>
      <c r="AR94" s="303">
        <f>INDEX($A$87:$H$100,MATCH($L94,$B$87:$B$100,0),MATCH($AO$86,$A$87:$H$87,0))*고양시_Modal_split!F$3 * 0.01</f>
        <v>4.9016917145096093</v>
      </c>
      <c r="AS94" s="303">
        <f>INDEX($A$87:$H$100,MATCH($L94,$B$87:$B$100,0),MATCH($AO$86,$A$87:$H$87,0))*고양시_Modal_split!G$3 * 0.01</f>
        <v>0.49177277833684196</v>
      </c>
      <c r="AT94" s="303">
        <f>INDEX($A$87:$H$100,MATCH($L94,$B$87:$B$100,0),MATCH($AO$86,$A$87:$H$87,0))*고양시_Modal_split!H$3 * 0.01</f>
        <v>5.3453562862700223E-3</v>
      </c>
      <c r="AU94" s="303">
        <f>INDEX($A$87:$H$100,MATCH($L94,$B$87:$B$100,0),MATCH($AO$86,$A$87:$H$87,0))*고양시_Modal_split!I$3 * 0.01</f>
        <v>1.4860090475830661</v>
      </c>
      <c r="AV94" s="303">
        <f>INDEX($A$87:$H$100,MATCH($L94,$B$87:$B$100,0),MATCH($AO$86,$A$87:$H$87,0))*고양시_Modal_split!J$3 * 0.01</f>
        <v>16.271264535405948</v>
      </c>
      <c r="AW94" s="303">
        <f>INDEX($A$87:$H$100,MATCH($L94,$B$87:$B$100,0),MATCH($AO$86,$A$87:$H$87,0))*고양시_Modal_split!K$3 * 0.01</f>
        <v>8.0180344294050326E-2</v>
      </c>
      <c r="AX94" s="303">
        <f>INDEX($A$87:$H$100,MATCH($L94,$B$87:$B$100,0),MATCH($AO$86,$A$87:$H$87,0))*고양시_Modal_split!L$3 * 0.01</f>
        <v>1.6142975984535466</v>
      </c>
      <c r="AY94" s="303">
        <f>INDEX($A$87:$H$100,MATCH($L94,$B$87:$B$100,0),MATCH($AO$86,$A$87:$H$87,0))*고양시_Modal_split!M$3 * 0.01</f>
        <v>0.12294319458421049</v>
      </c>
      <c r="AZ94" s="303">
        <f>INDEX($A$87:$H$100,MATCH($L94,$B$87:$B$100,0),MATCH($AO$86,$A$87:$H$87,0))*고양시_Modal_split!N$3 * 0.01</f>
        <v>5.345356286270022E-2</v>
      </c>
      <c r="BA94" s="207">
        <f>INDEX($A$87:$H$100,MATCH($L94,$B$87:$B$100,0),MATCH($AO$86,$A$87:$H$87,0))*고양시_Modal_split!O$3 * 0.01</f>
        <v>9.6216413152860392E-2</v>
      </c>
      <c r="BB94" s="207">
        <f>INDEX($A$87:$H$100,MATCH($L94,$B$87:$B$100,0),MATCH($AO$86,$A$87:$H$87,0))*고양시_Modal_split!P$3 * 0.01</f>
        <v>53.453562862700217</v>
      </c>
      <c r="BC94" s="207">
        <f>INDEX($A$87:$H$100,MATCH($L94,$B$87:$B$100,0),MATCH($BC$86,$A$87:$H$87,0))*고양시_Modal_split!C$3 * 0.01</f>
        <v>2.352068769233539E-4</v>
      </c>
      <c r="BD94" s="207">
        <f>INDEX($A$87:$H$100,MATCH($L94,$B$87:$B$100,0),MATCH($BC$86,$A$87:$H$87,0))*고양시_Modal_split!D$3 * 0.01</f>
        <v>3.9506355077519054E-2</v>
      </c>
      <c r="BE94" s="207">
        <f>INDEX($A$87:$H$100,MATCH($L94,$B$87:$B$100,0),MATCH($BC$86,$A$87:$H$87,0))*고양시_Modal_split!E$3 * 0.01</f>
        <v>4.7797397489067273E-3</v>
      </c>
      <c r="BF94" s="207">
        <f>INDEX($A$87:$H$100,MATCH($L94,$B$87:$B$100,0),MATCH($BC$86,$A$87:$H$87,0))*고양시_Modal_split!F$3 * 0.01</f>
        <v>7.7030252192398412E-3</v>
      </c>
      <c r="BG94" s="207">
        <f>INDEX($A$87:$H$100,MATCH($L94,$B$87:$B$100,0),MATCH($BC$86,$A$87:$H$87,0))*고양시_Modal_split!G$3 * 0.01</f>
        <v>7.7282259560530579E-4</v>
      </c>
      <c r="BH94" s="207">
        <f>INDEX($A$87:$H$100,MATCH($L94,$B$87:$B$100,0),MATCH($BC$86,$A$87:$H$87,0))*고양시_Modal_split!H$3 * 0.01</f>
        <v>8.400245604405497E-6</v>
      </c>
      <c r="BI94" s="207">
        <f>INDEX($A$87:$H$100,MATCH($L94,$B$87:$B$100,0),MATCH($BC$86,$A$87:$H$87,0))*고양시_Modal_split!I$3 * 0.01</f>
        <v>2.335268278024728E-3</v>
      </c>
      <c r="BJ94" s="207">
        <f>INDEX($A$87:$H$100,MATCH($L94,$B$87:$B$100,0),MATCH($BC$86,$A$87:$H$87,0))*고양시_Modal_split!J$3 * 0.01</f>
        <v>2.5570347619810335E-2</v>
      </c>
      <c r="BK94" s="207">
        <f>INDEX($A$87:$H$100,MATCH($L94,$B$87:$B$100,0),MATCH($BC$86,$A$87:$H$87,0))*고양시_Modal_split!K$3 * 0.01</f>
        <v>1.2600368406608247E-4</v>
      </c>
      <c r="BL94" s="207">
        <f>INDEX($A$87:$H$100,MATCH($L94,$B$87:$B$100,0),MATCH($BC$86,$A$87:$H$87,0))*고양시_Modal_split!L$3 * 0.01</f>
        <v>2.5368741725304601E-3</v>
      </c>
      <c r="BM94" s="207">
        <f>INDEX($A$87:$H$100,MATCH($L94,$B$87:$B$100,0),MATCH($BC$86,$A$87:$H$87,0))*고양시_Modal_split!M$3 * 0.01</f>
        <v>1.9320564890132645E-4</v>
      </c>
      <c r="BN94" s="207">
        <f>INDEX($A$87:$H$100,MATCH($L94,$B$87:$B$100,0),MATCH($BC$86,$A$87:$H$87,0))*고양시_Modal_split!N$3 * 0.01</f>
        <v>8.4002456044054963E-5</v>
      </c>
      <c r="BO94" s="207">
        <f>INDEX($A$87:$H$100,MATCH($L94,$B$87:$B$100,0),MATCH($BC$86,$A$87:$H$87,0))*고양시_Modal_split!O$3 * 0.01</f>
        <v>1.5120442087929894E-4</v>
      </c>
      <c r="BP94" s="207">
        <f>INDEX($A$87:$H$100,MATCH($L94,$B$87:$B$100,0),MATCH($BC$86,$A$87:$H$87,0))*고양시_Modal_split!P$3 * 0.01</f>
        <v>8.4002456044054971E-2</v>
      </c>
      <c r="BQ94" s="207">
        <f>INDEX($A$87:$H$100,MATCH($L94,$B$87:$B$100,0),MATCH($BQ$86,$A$87:$H$87,0))*고양시_Modal_split!C$3 * 0.01</f>
        <v>8.885593128215584E-4</v>
      </c>
      <c r="BR94" s="207">
        <f>INDEX($A$87:$H$100,MATCH($L94,$B$87:$B$100,0),MATCH($BQ$86,$A$87:$H$87,0))*고양시_Modal_split!D$3 * 0.01</f>
        <v>0.14924623029284964</v>
      </c>
      <c r="BS94" s="207">
        <f>INDEX($A$87:$H$100,MATCH($L94,$B$87:$B$100,0),MATCH($BQ$86,$A$87:$H$87,0))*고양시_Modal_split!E$3 * 0.01</f>
        <v>1.8056794606980956E-2</v>
      </c>
      <c r="BT94" s="207">
        <f>INDEX($A$87:$H$100,MATCH($L94,$B$87:$B$100,0),MATCH($BQ$86,$A$87:$H$87,0))*고양시_Modal_split!F$3 * 0.01</f>
        <v>2.9100317494906044E-2</v>
      </c>
      <c r="BU94" s="207">
        <f>INDEX($A$87:$H$100,MATCH($L94,$B$87:$B$100,0),MATCH($BQ$86,$A$87:$H$87,0))*고양시_Modal_split!G$3 * 0.01</f>
        <v>2.9195520278422638E-3</v>
      </c>
      <c r="BV94" s="207">
        <f>INDEX($A$87:$H$100,MATCH($L94,$B$87:$B$100,0),MATCH($BQ$86,$A$87:$H$87,0))*고양시_Modal_split!H$3 * 0.01</f>
        <v>3.1734261172198517E-5</v>
      </c>
      <c r="BW94" s="207">
        <f>INDEX($A$87:$H$100,MATCH($L94,$B$87:$B$100,0),MATCH($BQ$86,$A$87:$H$87,0))*고양시_Modal_split!I$3 * 0.01</f>
        <v>8.8221246058711872E-3</v>
      </c>
      <c r="BX94" s="207">
        <f>INDEX($A$87:$H$100,MATCH($L94,$B$87:$B$100,0),MATCH($BQ$86,$A$87:$H$87,0))*고양시_Modal_split!J$3 * 0.01</f>
        <v>9.6599091008172294E-2</v>
      </c>
      <c r="BY94" s="207">
        <f>INDEX($A$87:$H$100,MATCH($L94,$B$87:$B$100,0),MATCH($BQ$86,$A$87:$H$87,0))*고양시_Modal_split!K$3 * 0.01</f>
        <v>4.7601391758297782E-4</v>
      </c>
      <c r="BZ94" s="207">
        <f>INDEX($A$87:$H$100,MATCH($L94,$B$87:$B$100,0),MATCH($BQ$86,$A$87:$H$87,0))*고양시_Modal_split!L$3 * 0.01</f>
        <v>9.5837468740039532E-3</v>
      </c>
      <c r="CA94" s="207">
        <f>INDEX($A$87:$H$100,MATCH($L94,$B$87:$B$100,0),MATCH($BQ$86,$A$87:$H$87,0))*고양시_Modal_split!M$3 * 0.01</f>
        <v>7.2988800696056596E-4</v>
      </c>
      <c r="CB94" s="207">
        <f>INDEX($A$87:$H$100,MATCH($L94,$B$87:$B$100,0),MATCH($BQ$86,$A$87:$H$87,0))*고양시_Modal_split!N$3 * 0.01</f>
        <v>3.1734261172198521E-4</v>
      </c>
      <c r="CC94" s="207">
        <f>INDEX($A$87:$H$100,MATCH($L94,$B$87:$B$100,0),MATCH($BQ$86,$A$87:$H$87,0))*고양시_Modal_split!O$3 * 0.01</f>
        <v>5.712167010995734E-4</v>
      </c>
      <c r="CD94" s="207">
        <f>INDEX($A$87:$H$100,MATCH($L94,$B$87:$B$100,0),MATCH($BQ$86,$A$87:$H$87,0))*고양시_Modal_split!P$3 * 0.01</f>
        <v>0.31734261172198519</v>
      </c>
      <c r="CE94" s="304">
        <f t="shared" si="69"/>
        <v>3.120254429265207</v>
      </c>
      <c r="CF94" s="304">
        <f t="shared" si="51"/>
        <v>524.09130645836683</v>
      </c>
      <c r="CG94" s="304">
        <f t="shared" si="52"/>
        <v>63.40802750899654</v>
      </c>
      <c r="CH94" s="304">
        <f t="shared" si="53"/>
        <v>102.18833255843555</v>
      </c>
      <c r="CI94" s="304">
        <f t="shared" si="54"/>
        <v>10.252264553299966</v>
      </c>
      <c r="CJ94" s="304">
        <f t="shared" si="55"/>
        <v>0.11143765818804312</v>
      </c>
      <c r="CK94" s="304">
        <f t="shared" si="56"/>
        <v>30.979668976275988</v>
      </c>
      <c r="CL94" s="304">
        <f t="shared" si="57"/>
        <v>339.21623152440321</v>
      </c>
      <c r="CM94" s="304">
        <f t="shared" si="58"/>
        <v>1.6715648728206467</v>
      </c>
      <c r="CN94" s="304">
        <f t="shared" si="59"/>
        <v>33.654172772789025</v>
      </c>
      <c r="CO94" s="304">
        <f t="shared" si="60"/>
        <v>2.5630661383249915</v>
      </c>
      <c r="CP94" s="304">
        <f t="shared" si="61"/>
        <v>1.1143765818804314</v>
      </c>
      <c r="CQ94" s="304">
        <f t="shared" si="62"/>
        <v>2.005877847384776</v>
      </c>
      <c r="CR94" s="304">
        <f t="shared" si="63"/>
        <v>1114.3765818804313</v>
      </c>
      <c r="CS94" s="305">
        <f t="shared" si="70"/>
        <v>0</v>
      </c>
      <c r="CV94" s="267" t="s">
        <v>167</v>
      </c>
      <c r="CW94" s="267" t="s">
        <v>167</v>
      </c>
      <c r="CX94" s="267">
        <f>INDEX($M$86:$Z$100,MATCH($CW94,$L$86:$L$100,0),MATCH(CX$87,$M$87:$Z$87,0))/INDEX(고양시_재차인원!$D$4:$H$35,MATCH("고양시",고양시_재차인원!$B$4:$B$35,0),MATCH($CX$86,고양시_재차인원!$D$4:$H$4,0))</f>
        <v>54.062565668581108</v>
      </c>
      <c r="CY94" s="267">
        <f>INDEX($M$86:$Z$100,MATCH($CW94,$L$86:$L$100,0),MATCH(CY$87,$M$87:$Z$87,0))/INDEX(고양시_재차인원!$K$4:$O$20,MATCH("경기도",고양시_재차인원!$K$4:$K$20,0),MATCH($CY$87,고양시_재차인원!$K$4:$O$4,0))</f>
        <v>4.4719612468515062E-4</v>
      </c>
      <c r="CZ94" s="267">
        <f>INDEX($M$86:$Z$100,MATCH($CW94,$L$86:$L$100,0),MATCH(CZ$87,$M$87:$Z$87,0))/INDEX(고양시_재차인원!$K$4:$O$20,MATCH("경기도",고양시_재차인원!$K$4:$K$20,0),MATCH($CZ$87,고양시_재차인원!$K$4:$O$4,0))</f>
        <v>0.12432052266247186</v>
      </c>
      <c r="DA94" s="267">
        <f>INDEX($M$86:$Z$100,MATCH($CW94,$L$86:$L$100,0),MATCH(DA$87,$M$87:$Z$87,0))/INDEX(고양시_재차인원!$D$4:$H$35,MATCH("고양시",고양시_재차인원!$B$4:$B$35,0),MATCH($CX$86,고양시_재차인원!$D$4:$H$4,0))</f>
        <v>3.4715915015759071</v>
      </c>
      <c r="DB94" s="267">
        <f>INDEX($AA$86:$AN$100,MATCH($CW94,$L$86:$L$100,0),MATCH(DB$87,$AA$87:$AN$87,0))/INDEX(고양시_재차인원!$D$4:$H$35,MATCH("고양시",고양시_재차인원!$B$4:$B$35,0),MATCH($DB$86,고양시_재차인원!$D$4:$H$4,0))</f>
        <v>310.78955298571475</v>
      </c>
      <c r="DC94" s="267">
        <f>INDEX($AA$86:$AN$100,MATCH($CW94,$L$86:$L$100,0),MATCH(DC$87,$AA$87:$AN$87,0))/INDEX(고양시_재차인원!$K$4:$O$20,MATCH("경기도",고양시_재차인원!$K$4:$K$20,0),MATCH(DC$87,고양시_재차인원!$K$4:$O$4,0))</f>
        <v>3.2364498424908308E-3</v>
      </c>
      <c r="DD94" s="267">
        <f>INDEX($AA$86:$AN$100,MATCH($CW94,$L$86:$L$100,0),MATCH(DD$87,$AA$87:$AN$87,0))/INDEX(고양시_재차인원!$K$4:$O$20,MATCH("경기도",고양시_재차인원!$K$4:$K$20,0),MATCH(DD$87,고양시_재차인원!$K$4:$O$4,0))</f>
        <v>0.89973305621245092</v>
      </c>
      <c r="DE94" s="267">
        <f>INDEX($AA$86:$AN$100,MATCH($CW94,$L$86:$L$100,0),MATCH(DE$87,$AA$87:$AN$87,0))/INDEX(고양시_재차인원!$D$4:$H$35,MATCH("고양시",고양시_재차인원!$B$4:$B$35,0),MATCH($DB$86,고양시_재차인원!$D$4:$H$4,0))</f>
        <v>19.957143313137536</v>
      </c>
      <c r="DF94" s="267">
        <f>INDEX($AO$86:$BB$100,MATCH($CW94,$L$86:$L$100,0),MATCH(DF$87,$AO$87:$BB$87,0))/INDEX(고양시_재차인원!$D$4:$H$35,MATCH("고양시",고양시_재차인원!$B$4:$B$35,0),MATCH($DF$86,고양시_재차인원!$D$4:$H$4,0))</f>
        <v>19.337854318713777</v>
      </c>
      <c r="DG94" s="267">
        <f>INDEX($AO$86:$BB$100,MATCH($CW94,$L$86:$L$100,0),MATCH(DG$87,$AO$87:$BB$87,0))/INDEX(고양시_재차인원!$K$4:$O$20,MATCH("경기도",고양시_재차인원!$K$4:$K$20,0),MATCH(DG$87,고양시_재차인원!$K$4:$O$4,0))</f>
        <v>1.8566711657763192E-4</v>
      </c>
      <c r="DH94" s="267">
        <f>INDEX($AO$86:$BB$100,MATCH($CW94,$L$86:$L$100,0),MATCH(DH$87,$AO$87:$BB$87,0))/INDEX(고양시_재차인원!$K$4:$O$20,MATCH("경기도",고양시_재차인원!$K$4:$K$20,0),MATCH(DH$87,고양시_재차인원!$K$4:$O$4,0))</f>
        <v>5.1615458408581665E-2</v>
      </c>
      <c r="DI94" s="267">
        <f>INDEX($AO$86:$BB$100,MATCH($CW94,$L$86:$L$100,0),MATCH(DI$87,$AO$87:$BB$87,0))/INDEX(고양시_재차인원!$D$4:$H$35,MATCH("고양시",고양시_재차인원!$B$4:$B$35,0),MATCH($DF$86,고양시_재차인원!$D$4:$H$4,0))</f>
        <v>1.2417673834258049</v>
      </c>
      <c r="DJ94" s="267">
        <f>INDEX($BC$86:$BP$100,MATCH($CW94,$L$86:$L$100,0),MATCH(DJ$87,$BC$87:$BP$87,0))/INDEX(고양시_재차인원!$D$4:$H$35,MATCH("고양시",고양시_재차인원!$B$4:$B$35,0),MATCH($DJ$86,고양시_재차인원!$D$4:$H$4,0))</f>
        <v>2.9048790498175773E-2</v>
      </c>
      <c r="DK94" s="267">
        <f>INDEX($BC$86:$BP$100,MATCH($CW94,$L$86:$L$100,0),MATCH(DK$87,$BC$87:$BP$87,0))/INDEX(고양시_재차인원!$K$4:$O$20,MATCH("경기도",고양시_재차인원!$K$4:$K$20,0),MATCH(DK$87,고양시_재차인원!$K$4:$O$4,0))</f>
        <v>2.9177650588417842E-7</v>
      </c>
      <c r="DL94" s="267">
        <f>INDEX($BC$86:$BP$100,MATCH($CW94,$L$86:$L$100,0),MATCH(DL$87,$BC$87:$BP$87,0))/INDEX(고양시_재차인원!$K$4:$O$20,MATCH("경기도",고양시_재차인원!$K$4:$K$20,0),MATCH(DL$87,고양시_재차인원!$K$4:$O$4,0))</f>
        <v>8.1113868635801601E-5</v>
      </c>
      <c r="DM94" s="267">
        <f>INDEX($BC$86:$BP$100,MATCH($CW94,$L$86:$L$100,0),MATCH(DM$87,$BC$87:$BP$87,0))/INDEX(고양시_재차인원!$D$4:$H$35,MATCH("고양시",고양시_재차인원!$B$4:$B$35,0),MATCH($DJ$86,고양시_재차인원!$D$4:$H$4,0))</f>
        <v>1.8653486562723971E-3</v>
      </c>
      <c r="DN94" s="267">
        <f>INDEX($BQ$86:$CD$100,MATCH($CW94,$L$86:$L$100,0),MATCH(DN$87,$BQ$87:$CD$87,0))/INDEX(고양시_재차인원!$D$4:$H$35,MATCH("고양시",고양시_재차인원!$B$4:$B$35,0),MATCH($DN$86,고양시_재차인원!$D$4:$H$4,0))</f>
        <v>0.11844938912130924</v>
      </c>
      <c r="DO94" s="267">
        <f>INDEX($BQ$86:$CD$100,MATCH($CW94,$L$86:$L$100,0),MATCH(DO$87,$BQ$87:$CD$87,0))/INDEX(고양시_재차인원!$K$4:$O$20,MATCH("경기도",고양시_재차인원!$K$4:$K$20,0),MATCH(DO$87,고양시_재차인원!$K$4:$O$4,0))</f>
        <v>1.1022668000068953E-6</v>
      </c>
      <c r="DP94" s="267">
        <f>INDEX($BQ$86:$CD$100,MATCH($CW94,$L$86:$L$100,0),MATCH(DP$87,$BQ$87:$CD$87,0))/INDEX(고양시_재차인원!$K$4:$O$20,MATCH("경기도",고양시_재차인원!$K$4:$K$20,0),MATCH(DP$87,고양시_재차인원!$K$4:$O$4,0))</f>
        <v>3.0643017040191692E-4</v>
      </c>
      <c r="DQ94" s="267">
        <f>INDEX($BQ$86:$CD$100,MATCH($CW94,$L$86:$L$100,0),MATCH(DQ$87,$BQ$87:$CD$87,0))/INDEX(고양시_재차인원!$D$4:$H$35,MATCH("고양시",고양시_재차인원!$B$4:$B$35,0),MATCH($DN$86,고양시_재차인원!$D$4:$H$4,0))</f>
        <v>7.6061483127015505E-3</v>
      </c>
      <c r="DR94" s="270">
        <f t="shared" si="71"/>
        <v>384.33747115262906</v>
      </c>
      <c r="DS94" s="270">
        <f t="shared" si="64"/>
        <v>3.8707071270595046E-3</v>
      </c>
      <c r="DT94" s="270">
        <f t="shared" si="65"/>
        <v>1.0760565813225422</v>
      </c>
      <c r="DU94" s="270">
        <f t="shared" si="66"/>
        <v>24.679973695108224</v>
      </c>
      <c r="DW94" s="278" t="s">
        <v>167</v>
      </c>
      <c r="DX94" s="278" t="s">
        <v>167</v>
      </c>
      <c r="DY94" s="281">
        <f t="shared" si="72"/>
        <v>409.01744484773729</v>
      </c>
      <c r="DZ94" s="281">
        <f t="shared" si="73"/>
        <v>1.0799272884496018</v>
      </c>
      <c r="EB94" s="278" t="s">
        <v>168</v>
      </c>
      <c r="EC94" s="278" t="s">
        <v>168</v>
      </c>
      <c r="ED94" s="281">
        <f>DY95</f>
        <v>1553.2437382365779</v>
      </c>
      <c r="EE94" s="281">
        <f t="shared" ref="EE94:EE99" si="80">DZ95</f>
        <v>4.1010238552528815</v>
      </c>
      <c r="EK94" s="420" t="s">
        <v>168</v>
      </c>
      <c r="EL94" s="420" t="s">
        <v>168</v>
      </c>
      <c r="EM94" s="420" t="s">
        <v>569</v>
      </c>
      <c r="EN94" s="420">
        <v>63163.374600000003</v>
      </c>
      <c r="EO94" s="420">
        <v>0.3749310795992149</v>
      </c>
      <c r="EP94" s="421">
        <v>849007</v>
      </c>
      <c r="EQ94" s="422">
        <f t="shared" si="75"/>
        <v>565.76211013551438</v>
      </c>
      <c r="ER94" s="422">
        <f t="shared" si="76"/>
        <v>1.4937796644190025</v>
      </c>
      <c r="ES94">
        <v>0</v>
      </c>
      <c r="EU94" s="306" t="s">
        <v>168</v>
      </c>
      <c r="EV94" s="306" t="s">
        <v>168</v>
      </c>
      <c r="EW94" s="306" t="s">
        <v>569</v>
      </c>
      <c r="EX94" s="306">
        <v>63163.374600000003</v>
      </c>
      <c r="EY94" s="306">
        <v>0.3749310795992149</v>
      </c>
      <c r="EZ94" s="307">
        <v>849007</v>
      </c>
      <c r="FA94" s="308">
        <f t="shared" si="77"/>
        <v>565.76211013551438</v>
      </c>
      <c r="FB94" s="308">
        <f t="shared" si="68"/>
        <v>1.4937796644190025</v>
      </c>
      <c r="FD94" s="101"/>
      <c r="FE94" s="101"/>
      <c r="FF94" s="101"/>
      <c r="FG94" s="101"/>
      <c r="FH94" s="101"/>
      <c r="FI94" s="374"/>
      <c r="FJ94" s="404"/>
      <c r="FK94" s="404"/>
    </row>
    <row r="95" spans="1:167">
      <c r="A95" s="205" t="s">
        <v>168</v>
      </c>
      <c r="B95" s="205" t="s">
        <v>168</v>
      </c>
      <c r="C95" s="201">
        <f>$K36*KTDB_TripDistribution_2045!T$12</f>
        <v>488.91963221884794</v>
      </c>
      <c r="D95" s="201">
        <f>$K36*KTDB_TripDistribution_2045!U$12</f>
        <v>3538.4114023783904</v>
      </c>
      <c r="E95" s="201">
        <f>$K36*KTDB_TripDistribution_2045!V$12</f>
        <v>202.98990385075675</v>
      </c>
      <c r="F95" s="201">
        <f>$K36*KTDB_TripDistribution_2045!W$12</f>
        <v>0.31899932506666911</v>
      </c>
      <c r="G95" s="201">
        <f>$K36*KTDB_TripDistribution_2045!X$12</f>
        <v>1.2051085613629713</v>
      </c>
      <c r="H95" s="201">
        <f>$K36*KTDB_TripDistribution_2045!Y$12</f>
        <v>4231.8450463344243</v>
      </c>
      <c r="I95" s="56"/>
      <c r="J95" s="56"/>
      <c r="K95" s="206" t="s">
        <v>168</v>
      </c>
      <c r="L95" s="206" t="s">
        <v>168</v>
      </c>
      <c r="M95" s="206">
        <f>INDEX($A$87:$H$100,MATCH($L95,$B$87:$B$100,0),MATCH($M$86,$A$87:$H$87,0))*고양시_Modal_split!C$3 * 0.01</f>
        <v>1.3689749702127743</v>
      </c>
      <c r="N95" s="206">
        <f>INDEX($A$87:$H$100,MATCH($L95,$B$87:$B$100,0),MATCH($M$86,$A$87:$H$87,0))*고양시_Modal_split!D$3 * 0.01</f>
        <v>229.93890303252419</v>
      </c>
      <c r="O95" s="206">
        <f>INDEX($A$87:$H$100,MATCH($L95,$B$87:$B$100,0),MATCH($M$86,$A$87:$H$87,0))*고양시_Modal_split!E$3 * 0.01</f>
        <v>27.819527073252445</v>
      </c>
      <c r="P95" s="206">
        <f>INDEX($A$87:$H$100,MATCH($L95,$B$87:$B$100,0),MATCH($M$86,$A$87:$H$87,0))*고양시_Modal_split!F$3 * 0.01</f>
        <v>44.833930274468358</v>
      </c>
      <c r="Q95" s="206">
        <f>INDEX($A$87:$H$100,MATCH($L95,$B$87:$B$100,0),MATCH($M$86,$A$87:$H$87,0))*고양시_Modal_split!G$3 * 0.01</f>
        <v>4.4980606164134009</v>
      </c>
      <c r="R95" s="206">
        <f>INDEX($A$87:$H$100,MATCH($L95,$B$87:$B$100,0),MATCH($M$86,$A$87:$H$87,0))*고양시_Modal_split!H$3 * 0.01</f>
        <v>4.8891963221884799E-2</v>
      </c>
      <c r="S95" s="206">
        <f>INDEX($A$87:$H$100,MATCH($L95,$B$87:$B$100,0),MATCH($M$86,$A$87:$H$87,0))*고양시_Modal_split!I$3 * 0.01</f>
        <v>13.59196577568397</v>
      </c>
      <c r="T95" s="206">
        <f>INDEX($A$87:$H$100,MATCH($L95,$B$87:$B$100,0),MATCH($M$86,$A$87:$H$87,0))*고양시_Modal_split!J$3 * 0.01</f>
        <v>148.82713604741733</v>
      </c>
      <c r="U95" s="206">
        <f>INDEX($A$87:$H$100,MATCH($L95,$B$87:$B$100,0),MATCH($M$86,$A$87:$H$87,0))*고양시_Modal_split!K$3 * 0.01</f>
        <v>0.73337944832827195</v>
      </c>
      <c r="V95" s="206">
        <f>INDEX($A$87:$H$100,MATCH($L95,$B$87:$B$100,0),MATCH($M$86,$A$87:$H$87,0))*고양시_Modal_split!L$3 * 0.01</f>
        <v>14.765372893009207</v>
      </c>
      <c r="W95" s="206">
        <f>INDEX($A$87:$H$100,MATCH($L95,$B$87:$B$100,0),MATCH($M$86,$A$87:$H$87,0))*고양시_Modal_split!M$3 * 0.01</f>
        <v>1.1245151541033502</v>
      </c>
      <c r="X95" s="206">
        <f>INDEX($A$87:$H$100,MATCH($L95,$B$87:$B$100,0),MATCH($M$86,$A$87:$H$87,0))*고양시_Modal_split!N$3 * 0.01</f>
        <v>0.48891963221884793</v>
      </c>
      <c r="Y95" s="206">
        <f>INDEX($A$87:$H$100,MATCH($L95,$B$87:$B$100,0),MATCH($M$86,$A$87:$H$87,0))*고양시_Modal_split!O$3 * 0.01</f>
        <v>0.88005533799392621</v>
      </c>
      <c r="Z95" s="209">
        <f>INDEX($A$87:$H$100,MATCH($L95,$B$87:$B$100,0),MATCH($M$86,$A$87:$H$87,0))*고양시_Modal_split!P$3 * 0.01</f>
        <v>488.91963221884794</v>
      </c>
      <c r="AA95" s="207">
        <f>INDEX($A$87:$H$100,MATCH($L95,$B$87:$B$100,0),MATCH($AA$86,$A$87:$H$87,0))*고양시_Modal_split!C$3 * 0.01</f>
        <v>9.907551926659492</v>
      </c>
      <c r="AB95" s="207">
        <f>INDEX($A$87:$H$100,MATCH($L95,$B$87:$B$100,0),MATCH($AA$86,$A$87:$H$87,0))*고양시_Modal_split!D$3 * 0.01</f>
        <v>1664.1148825385571</v>
      </c>
      <c r="AC95" s="207">
        <f>INDEX($A$87:$H$100,MATCH($L95,$B$87:$B$100,0),MATCH($AA$86,$A$87:$H$87,0))*고양시_Modal_split!E$3 * 0.01</f>
        <v>201.33560879533042</v>
      </c>
      <c r="AD95" s="207">
        <f>INDEX($A$87:$H$100,MATCH($L95,$B$87:$B$100,0),MATCH($AA$86,$A$87:$H$87,0))*고양시_Modal_split!F$3 * 0.01</f>
        <v>324.47232559809839</v>
      </c>
      <c r="AE95" s="207">
        <f>INDEX($A$87:$H$100,MATCH($L95,$B$87:$B$100,0),MATCH($AA$86,$A$87:$H$87,0))*고양시_Modal_split!G$3 * 0.01</f>
        <v>32.553384901881188</v>
      </c>
      <c r="AF95" s="207">
        <f>INDEX($A$87:$H$100,MATCH($L95,$B$87:$B$100,0),MATCH($AA$86,$A$87:$H$87,0))*고양시_Modal_split!H$3 * 0.01</f>
        <v>0.35384114023783908</v>
      </c>
      <c r="AG95" s="207">
        <f>INDEX($A$87:$H$100,MATCH($L95,$B$87:$B$100,0),MATCH($AA$86,$A$87:$H$87,0))*고양시_Modal_split!I$3 * 0.01</f>
        <v>98.367836986119258</v>
      </c>
      <c r="AH95" s="207">
        <f>INDEX($A$87:$H$100,MATCH($L95,$B$87:$B$100,0),MATCH($AA$86,$A$87:$H$87,0))*고양시_Modal_split!J$3 * 0.01</f>
        <v>1077.0924308839822</v>
      </c>
      <c r="AI95" s="207">
        <f>INDEX($A$87:$H$100,MATCH($L95,$B$87:$B$100,0),MATCH($AA$86,$A$87:$H$87,0))*고양시_Modal_split!K$3 * 0.01</f>
        <v>5.3076171035675852</v>
      </c>
      <c r="AJ95" s="207">
        <f>INDEX($A$87:$H$100,MATCH($L95,$B$87:$B$100,0),MATCH($AA$86,$A$87:$H$87,0))*고양시_Modal_split!L$3 * 0.01</f>
        <v>106.86002435182741</v>
      </c>
      <c r="AK95" s="207">
        <f>INDEX($A$87:$H$100,MATCH($L95,$B$87:$B$100,0),MATCH($AA$86,$A$87:$H$87,0))*고양시_Modal_split!M$3 * 0.01</f>
        <v>8.138346225470297</v>
      </c>
      <c r="AL95" s="207">
        <f>INDEX($A$87:$H$100,MATCH($L95,$B$87:$B$100,0),MATCH($AA$86,$A$87:$H$87,0))*고양시_Modal_split!N$3 * 0.01</f>
        <v>3.5384114023783906</v>
      </c>
      <c r="AM95" s="207">
        <f>INDEX($A$87:$H$100,MATCH($L95,$B$87:$B$100,0),MATCH($AA$86,$A$87:$H$87,0))*고양시_Modal_split!O$3 * 0.01</f>
        <v>6.3691405242811028</v>
      </c>
      <c r="AN95" s="207">
        <f>INDEX($A$87:$H$100,MATCH($L95,$B$87:$B$100,0),MATCH($AA$86,$A$87:$H$87,0))*고양시_Modal_split!P$3 * 0.01</f>
        <v>3538.4114023783904</v>
      </c>
      <c r="AO95" s="303">
        <f>INDEX($A$87:$H$100,MATCH($L95,$B$87:$B$100,0),MATCH($AO$86,$A$87:$H$87,0))*고양시_Modal_split!C$3 * 0.01</f>
        <v>0.56837173078211889</v>
      </c>
      <c r="AP95" s="303">
        <f>INDEX($A$87:$H$100,MATCH($L95,$B$87:$B$100,0),MATCH($AO$86,$A$87:$H$87,0))*고양시_Modal_split!D$3 * 0.01</f>
        <v>95.466151781010907</v>
      </c>
      <c r="AQ95" s="303">
        <f>INDEX($A$87:$H$100,MATCH($L95,$B$87:$B$100,0),MATCH($AO$86,$A$87:$H$87,0))*고양시_Modal_split!E$3 * 0.01</f>
        <v>11.550125529108058</v>
      </c>
      <c r="AR95" s="303">
        <f>INDEX($A$87:$H$100,MATCH($L95,$B$87:$B$100,0),MATCH($AO$86,$A$87:$H$87,0))*고양시_Modal_split!F$3 * 0.01</f>
        <v>18.614174183114393</v>
      </c>
      <c r="AS95" s="303">
        <f>INDEX($A$87:$H$100,MATCH($L95,$B$87:$B$100,0),MATCH($AO$86,$A$87:$H$87,0))*고양시_Modal_split!G$3 * 0.01</f>
        <v>1.867507115426962</v>
      </c>
      <c r="AT95" s="303">
        <f>INDEX($A$87:$H$100,MATCH($L95,$B$87:$B$100,0),MATCH($AO$86,$A$87:$H$87,0))*고양시_Modal_split!H$3 * 0.01</f>
        <v>2.0298990385075679E-2</v>
      </c>
      <c r="AU95" s="303">
        <f>INDEX($A$87:$H$100,MATCH($L95,$B$87:$B$100,0),MATCH($AO$86,$A$87:$H$87,0))*고양시_Modal_split!I$3 * 0.01</f>
        <v>5.6431193270510374</v>
      </c>
      <c r="AV95" s="303">
        <f>INDEX($A$87:$H$100,MATCH($L95,$B$87:$B$100,0),MATCH($AO$86,$A$87:$H$87,0))*고양시_Modal_split!J$3 * 0.01</f>
        <v>61.790126732170357</v>
      </c>
      <c r="AW95" s="303">
        <f>INDEX($A$87:$H$100,MATCH($L95,$B$87:$B$100,0),MATCH($AO$86,$A$87:$H$87,0))*고양시_Modal_split!K$3 * 0.01</f>
        <v>0.3044848557761351</v>
      </c>
      <c r="AX95" s="303">
        <f>INDEX($A$87:$H$100,MATCH($L95,$B$87:$B$100,0),MATCH($AO$86,$A$87:$H$87,0))*고양시_Modal_split!L$3 * 0.01</f>
        <v>6.130295096292854</v>
      </c>
      <c r="AY95" s="303">
        <f>INDEX($A$87:$H$100,MATCH($L95,$B$87:$B$100,0),MATCH($AO$86,$A$87:$H$87,0))*고양시_Modal_split!M$3 * 0.01</f>
        <v>0.4668767788567405</v>
      </c>
      <c r="AZ95" s="303">
        <f>INDEX($A$87:$H$100,MATCH($L95,$B$87:$B$100,0),MATCH($AO$86,$A$87:$H$87,0))*고양시_Modal_split!N$3 * 0.01</f>
        <v>0.20298990385075677</v>
      </c>
      <c r="BA95" s="207">
        <f>INDEX($A$87:$H$100,MATCH($L95,$B$87:$B$100,0),MATCH($AO$86,$A$87:$H$87,0))*고양시_Modal_split!O$3 * 0.01</f>
        <v>0.36538182693136217</v>
      </c>
      <c r="BB95" s="207">
        <f>INDEX($A$87:$H$100,MATCH($L95,$B$87:$B$100,0),MATCH($AO$86,$A$87:$H$87,0))*고양시_Modal_split!P$3 * 0.01</f>
        <v>202.98990385075675</v>
      </c>
      <c r="BC95" s="207">
        <f>INDEX($A$87:$H$100,MATCH($L95,$B$87:$B$100,0),MATCH($BC$86,$A$87:$H$87,0))*고양시_Modal_split!C$3 * 0.01</f>
        <v>8.9319811018667347E-4</v>
      </c>
      <c r="BD95" s="207">
        <f>INDEX($A$87:$H$100,MATCH($L95,$B$87:$B$100,0),MATCH($BC$86,$A$87:$H$87,0))*고양시_Modal_split!D$3 * 0.01</f>
        <v>0.1500253825788545</v>
      </c>
      <c r="BE95" s="207">
        <f>INDEX($A$87:$H$100,MATCH($L95,$B$87:$B$100,0),MATCH($BC$86,$A$87:$H$87,0))*고양시_Modal_split!E$3 * 0.01</f>
        <v>1.8151061596293473E-2</v>
      </c>
      <c r="BF95" s="207">
        <f>INDEX($A$87:$H$100,MATCH($L95,$B$87:$B$100,0),MATCH($BC$86,$A$87:$H$87,0))*고양시_Modal_split!F$3 * 0.01</f>
        <v>2.9252238108613559E-2</v>
      </c>
      <c r="BG95" s="207">
        <f>INDEX($A$87:$H$100,MATCH($L95,$B$87:$B$100,0),MATCH($BC$86,$A$87:$H$87,0))*고양시_Modal_split!G$3 * 0.01</f>
        <v>2.9347937906133558E-3</v>
      </c>
      <c r="BH95" s="207">
        <f>INDEX($A$87:$H$100,MATCH($L95,$B$87:$B$100,0),MATCH($BC$86,$A$87:$H$87,0))*고양시_Modal_split!H$3 * 0.01</f>
        <v>3.1899932506666917E-5</v>
      </c>
      <c r="BI95" s="207">
        <f>INDEX($A$87:$H$100,MATCH($L95,$B$87:$B$100,0),MATCH($BC$86,$A$87:$H$87,0))*고양시_Modal_split!I$3 * 0.01</f>
        <v>8.8681812368534008E-3</v>
      </c>
      <c r="BJ95" s="207">
        <f>INDEX($A$87:$H$100,MATCH($L95,$B$87:$B$100,0),MATCH($BC$86,$A$87:$H$87,0))*고양시_Modal_split!J$3 * 0.01</f>
        <v>9.7103394550294098E-2</v>
      </c>
      <c r="BK95" s="207">
        <f>INDEX($A$87:$H$100,MATCH($L95,$B$87:$B$100,0),MATCH($BC$86,$A$87:$H$87,0))*고양시_Modal_split!K$3 * 0.01</f>
        <v>4.7849898760000362E-4</v>
      </c>
      <c r="BL95" s="207">
        <f>INDEX($A$87:$H$100,MATCH($L95,$B$87:$B$100,0),MATCH($BC$86,$A$87:$H$87,0))*고양시_Modal_split!L$3 * 0.01</f>
        <v>9.6337796170134077E-3</v>
      </c>
      <c r="BM95" s="207">
        <f>INDEX($A$87:$H$100,MATCH($L95,$B$87:$B$100,0),MATCH($BC$86,$A$87:$H$87,0))*고양시_Modal_split!M$3 * 0.01</f>
        <v>7.3369844765333895E-4</v>
      </c>
      <c r="BN95" s="207">
        <f>INDEX($A$87:$H$100,MATCH($L95,$B$87:$B$100,0),MATCH($BC$86,$A$87:$H$87,0))*고양시_Modal_split!N$3 * 0.01</f>
        <v>3.1899932506666915E-4</v>
      </c>
      <c r="BO95" s="207">
        <f>INDEX($A$87:$H$100,MATCH($L95,$B$87:$B$100,0),MATCH($BC$86,$A$87:$H$87,0))*고양시_Modal_split!O$3 * 0.01</f>
        <v>5.7419878512000432E-4</v>
      </c>
      <c r="BP95" s="207">
        <f>INDEX($A$87:$H$100,MATCH($L95,$B$87:$B$100,0),MATCH($BC$86,$A$87:$H$87,0))*고양시_Modal_split!P$3 * 0.01</f>
        <v>0.31899932506666911</v>
      </c>
      <c r="BQ95" s="207">
        <f>INDEX($A$87:$H$100,MATCH($L95,$B$87:$B$100,0),MATCH($BQ$86,$A$87:$H$87,0))*고양시_Modal_split!C$3 * 0.01</f>
        <v>3.3743039718163192E-3</v>
      </c>
      <c r="BR95" s="207">
        <f>INDEX($A$87:$H$100,MATCH($L95,$B$87:$B$100,0),MATCH($BQ$86,$A$87:$H$87,0))*고양시_Modal_split!D$3 * 0.01</f>
        <v>0.56676255640900541</v>
      </c>
      <c r="BS95" s="207">
        <f>INDEX($A$87:$H$100,MATCH($L95,$B$87:$B$100,0),MATCH($BQ$86,$A$87:$H$87,0))*고양시_Modal_split!E$3 * 0.01</f>
        <v>6.8570677141553057E-2</v>
      </c>
      <c r="BT95" s="207">
        <f>INDEX($A$87:$H$100,MATCH($L95,$B$87:$B$100,0),MATCH($BQ$86,$A$87:$H$87,0))*고양시_Modal_split!F$3 * 0.01</f>
        <v>0.11050845507698447</v>
      </c>
      <c r="BU95" s="207">
        <f>INDEX($A$87:$H$100,MATCH($L95,$B$87:$B$100,0),MATCH($BQ$86,$A$87:$H$87,0))*고양시_Modal_split!G$3 * 0.01</f>
        <v>1.1086998764539335E-2</v>
      </c>
      <c r="BV95" s="207">
        <f>INDEX($A$87:$H$100,MATCH($L95,$B$87:$B$100,0),MATCH($BQ$86,$A$87:$H$87,0))*고양시_Modal_split!H$3 * 0.01</f>
        <v>1.2051085613629713E-4</v>
      </c>
      <c r="BW95" s="207">
        <f>INDEX($A$87:$H$100,MATCH($L95,$B$87:$B$100,0),MATCH($BQ$86,$A$87:$H$87,0))*고양시_Modal_split!I$3 * 0.01</f>
        <v>3.3502018005890602E-2</v>
      </c>
      <c r="BX95" s="207">
        <f>INDEX($A$87:$H$100,MATCH($L95,$B$87:$B$100,0),MATCH($BQ$86,$A$87:$H$87,0))*고양시_Modal_split!J$3 * 0.01</f>
        <v>0.3668350460788885</v>
      </c>
      <c r="BY95" s="207">
        <f>INDEX($A$87:$H$100,MATCH($L95,$B$87:$B$100,0),MATCH($BQ$86,$A$87:$H$87,0))*고양시_Modal_split!K$3 * 0.01</f>
        <v>1.8076628420444568E-3</v>
      </c>
      <c r="BZ95" s="207">
        <f>INDEX($A$87:$H$100,MATCH($L95,$B$87:$B$100,0),MATCH($BQ$86,$A$87:$H$87,0))*고양시_Modal_split!L$3 * 0.01</f>
        <v>3.6394278553161734E-2</v>
      </c>
      <c r="CA95" s="207">
        <f>INDEX($A$87:$H$100,MATCH($L95,$B$87:$B$100,0),MATCH($BQ$86,$A$87:$H$87,0))*고양시_Modal_split!M$3 * 0.01</f>
        <v>2.7717496911348338E-3</v>
      </c>
      <c r="CB95" s="207">
        <f>INDEX($A$87:$H$100,MATCH($L95,$B$87:$B$100,0),MATCH($BQ$86,$A$87:$H$87,0))*고양시_Modal_split!N$3 * 0.01</f>
        <v>1.2051085613629714E-3</v>
      </c>
      <c r="CC95" s="207">
        <f>INDEX($A$87:$H$100,MATCH($L95,$B$87:$B$100,0),MATCH($BQ$86,$A$87:$H$87,0))*고양시_Modal_split!O$3 * 0.01</f>
        <v>2.169195410453348E-3</v>
      </c>
      <c r="CD95" s="207">
        <f>INDEX($A$87:$H$100,MATCH($L95,$B$87:$B$100,0),MATCH($BQ$86,$A$87:$H$87,0))*고양시_Modal_split!P$3 * 0.01</f>
        <v>1.2051085613629713</v>
      </c>
      <c r="CE95" s="304">
        <f t="shared" si="69"/>
        <v>11.849166129736387</v>
      </c>
      <c r="CF95" s="304">
        <f t="shared" si="51"/>
        <v>1990.2367252910801</v>
      </c>
      <c r="CG95" s="304">
        <f t="shared" si="52"/>
        <v>240.7919831364288</v>
      </c>
      <c r="CH95" s="304">
        <f t="shared" si="53"/>
        <v>388.06019074886672</v>
      </c>
      <c r="CI95" s="304">
        <f t="shared" si="54"/>
        <v>38.932974426276701</v>
      </c>
      <c r="CJ95" s="304">
        <f t="shared" si="55"/>
        <v>0.42318450463344254</v>
      </c>
      <c r="CK95" s="304">
        <f t="shared" si="56"/>
        <v>117.64529228809701</v>
      </c>
      <c r="CL95" s="304">
        <f t="shared" si="57"/>
        <v>1288.173632104199</v>
      </c>
      <c r="CM95" s="304">
        <f t="shared" si="58"/>
        <v>6.3477675695016362</v>
      </c>
      <c r="CN95" s="304">
        <f t="shared" si="59"/>
        <v>127.80172039929965</v>
      </c>
      <c r="CO95" s="304">
        <f t="shared" si="60"/>
        <v>9.7332436065691752</v>
      </c>
      <c r="CP95" s="304">
        <f t="shared" si="61"/>
        <v>4.2318450463344242</v>
      </c>
      <c r="CQ95" s="304">
        <f t="shared" si="62"/>
        <v>7.617321083401964</v>
      </c>
      <c r="CR95" s="304">
        <f t="shared" si="63"/>
        <v>4231.8450463344243</v>
      </c>
      <c r="CS95" s="305">
        <f t="shared" si="70"/>
        <v>0</v>
      </c>
      <c r="CV95" s="267" t="s">
        <v>168</v>
      </c>
      <c r="CW95" s="267" t="s">
        <v>168</v>
      </c>
      <c r="CX95" s="267">
        <f>INDEX($M$86:$Z$100,MATCH($CW95,$L$86:$L$100,0),MATCH(CX$87,$M$87:$Z$87,0))/INDEX(고양시_재차인원!$D$4:$H$35,MATCH("고양시",고양시_재차인원!$B$4:$B$35,0),MATCH($CX$86,고양시_재차인원!$D$4:$H$4,0))</f>
        <v>205.30259199332517</v>
      </c>
      <c r="CY95" s="267">
        <f>INDEX($M$86:$Z$100,MATCH($CW95,$L$86:$L$100,0),MATCH(CY$87,$M$87:$Z$87,0))/INDEX(고양시_재차인원!$K$4:$O$20,MATCH("경기도",고양시_재차인원!$K$4:$K$20,0),MATCH($CY$87,고양시_재차인원!$K$4:$O$4,0))</f>
        <v>1.6982272741189581E-3</v>
      </c>
      <c r="CZ95" s="267">
        <f>INDEX($M$86:$Z$100,MATCH($CW95,$L$86:$L$100,0),MATCH(CZ$87,$M$87:$Z$87,0))/INDEX(고양시_재차인원!$K$4:$O$20,MATCH("경기도",고양시_재차인원!$K$4:$K$20,0),MATCH($CZ$87,고양시_재차인원!$K$4:$O$4,0))</f>
        <v>0.4721071822050702</v>
      </c>
      <c r="DA95" s="267">
        <f>INDEX($M$86:$Z$100,MATCH($CW95,$L$86:$L$100,0),MATCH(DA$87,$M$87:$Z$87,0))/INDEX(고양시_재차인원!$D$4:$H$35,MATCH("고양시",고양시_재차인원!$B$4:$B$35,0),MATCH($CX$86,고양시_재차인원!$D$4:$H$4,0))</f>
        <v>13.183368654472504</v>
      </c>
      <c r="DB95" s="267">
        <f>INDEX($AA$86:$AN$100,MATCH($CW95,$L$86:$L$100,0),MATCH(DB$87,$AA$87:$AN$87,0))/INDEX(고양시_재차인원!$D$4:$H$35,MATCH("고양시",고양시_재차인원!$B$4:$B$35,0),MATCH($DB$86,고양시_재차인원!$D$4:$H$4,0))</f>
        <v>1180.2233209493313</v>
      </c>
      <c r="DC95" s="267">
        <f>INDEX($AA$86:$AN$100,MATCH($CW95,$L$86:$L$100,0),MATCH(DC$87,$AA$87:$AN$87,0))/INDEX(고양시_재차인원!$K$4:$O$20,MATCH("경기도",고양시_재차인원!$K$4:$K$20,0),MATCH(DC$87,고양시_재차인원!$K$4:$O$4,0))</f>
        <v>1.2290418209025324E-2</v>
      </c>
      <c r="DD95" s="267">
        <f>INDEX($AA$86:$AN$100,MATCH($CW95,$L$86:$L$100,0),MATCH(DD$87,$AA$87:$AN$87,0))/INDEX(고양시_재차인원!$K$4:$O$20,MATCH("경기도",고양시_재차인원!$K$4:$K$20,0),MATCH(DD$87,고양시_재차인원!$K$4:$O$4,0))</f>
        <v>3.41673626210904</v>
      </c>
      <c r="DE95" s="267">
        <f>INDEX($AA$86:$AN$100,MATCH($CW95,$L$86:$L$100,0),MATCH(DE$87,$AA$87:$AN$87,0))/INDEX(고양시_재차인원!$D$4:$H$35,MATCH("고양시",고양시_재차인원!$B$4:$B$35,0),MATCH($DB$86,고양시_재차인원!$D$4:$H$4,0))</f>
        <v>75.787251313352769</v>
      </c>
      <c r="DF95" s="267">
        <f>INDEX($AO$86:$BB$100,MATCH($CW95,$L$86:$L$100,0),MATCH(DF$87,$AO$87:$BB$87,0))/INDEX(고양시_재차인원!$D$4:$H$35,MATCH("고양시",고양시_재차인원!$B$4:$B$35,0),MATCH($DF$86,고양시_재차인원!$D$4:$H$4,0))</f>
        <v>73.435501370008382</v>
      </c>
      <c r="DG95" s="267">
        <f>INDEX($AO$86:$BB$100,MATCH($CW95,$L$86:$L$100,0),MATCH(DG$87,$AO$87:$BB$87,0))/INDEX(고양시_재차인원!$K$4:$O$20,MATCH("경기도",고양시_재차인원!$K$4:$K$20,0),MATCH(DG$87,고양시_재차인원!$K$4:$O$4,0))</f>
        <v>7.0507087131211114E-4</v>
      </c>
      <c r="DH95" s="267">
        <f>INDEX($AO$86:$BB$100,MATCH($CW95,$L$86:$L$100,0),MATCH(DH$87,$AO$87:$BB$87,0))/INDEX(고양시_재차인원!$K$4:$O$20,MATCH("경기도",고양시_재차인원!$K$4:$K$20,0),MATCH(DH$87,고양시_재차인원!$K$4:$O$4,0))</f>
        <v>0.19600970222476685</v>
      </c>
      <c r="DI95" s="267">
        <f>INDEX($AO$86:$BB$100,MATCH($CW95,$L$86:$L$100,0),MATCH(DI$87,$AO$87:$BB$87,0))/INDEX(고양시_재차인원!$D$4:$H$35,MATCH("고양시",고양시_재차인원!$B$4:$B$35,0),MATCH($DF$86,고양시_재차인원!$D$4:$H$4,0))</f>
        <v>4.7156116125329648</v>
      </c>
      <c r="DJ95" s="267">
        <f>INDEX($BC$86:$BP$100,MATCH($CW95,$L$86:$L$100,0),MATCH(DJ$87,$BC$87:$BP$87,0))/INDEX(고양시_재차인원!$D$4:$H$35,MATCH("고양시",고양시_재차인원!$B$4:$B$35,0),MATCH($DJ$86,고양시_재차인원!$D$4:$H$4,0))</f>
        <v>0.11031278130798125</v>
      </c>
      <c r="DK95" s="267">
        <f>INDEX($BC$86:$BP$100,MATCH($CW95,$L$86:$L$100,0),MATCH(DK$87,$BC$87:$BP$87,0))/INDEX(고양시_재차인원!$K$4:$O$20,MATCH("경기도",고양시_재차인원!$K$4:$K$20,0),MATCH(DK$87,고양시_재차인원!$K$4:$O$4,0))</f>
        <v>1.108021274979747E-6</v>
      </c>
      <c r="DL95" s="267">
        <f>INDEX($BC$86:$BP$100,MATCH($CW95,$L$86:$L$100,0),MATCH(DL$87,$BC$87:$BP$87,0))/INDEX(고양시_재차인원!$K$4:$O$20,MATCH("경기도",고양시_재차인원!$K$4:$K$20,0),MATCH(DL$87,고양시_재차인원!$K$4:$O$4,0))</f>
        <v>3.0802991444436959E-4</v>
      </c>
      <c r="DM95" s="267">
        <f>INDEX($BC$86:$BP$100,MATCH($CW95,$L$86:$L$100,0),MATCH(DM$87,$BC$87:$BP$87,0))/INDEX(고양시_재차인원!$D$4:$H$35,MATCH("고양시",고양시_재차인원!$B$4:$B$35,0),MATCH($DJ$86,고양시_재차인원!$D$4:$H$4,0))</f>
        <v>7.0836614830980934E-3</v>
      </c>
      <c r="DN95" s="267">
        <f>INDEX($BQ$86:$CD$100,MATCH($CW95,$L$86:$L$100,0),MATCH(DN$87,$BQ$87:$CD$87,0))/INDEX(고양시_재차인원!$D$4:$H$35,MATCH("고양시",고양시_재차인원!$B$4:$B$35,0),MATCH($DN$86,고양시_재차인원!$D$4:$H$4,0))</f>
        <v>0.44981155270555984</v>
      </c>
      <c r="DO95" s="267">
        <f>INDEX($BQ$86:$CD$100,MATCH($CW95,$L$86:$L$100,0),MATCH(DO$87,$BQ$87:$CD$87,0))/INDEX(고양시_재차인원!$K$4:$O$20,MATCH("경기도",고양시_재차인원!$K$4:$K$20,0),MATCH(DO$87,고양시_재차인원!$K$4:$O$4,0))</f>
        <v>4.185858149923485E-6</v>
      </c>
      <c r="DP95" s="267">
        <f>INDEX($BQ$86:$CD$100,MATCH($CW95,$L$86:$L$100,0),MATCH(DP$87,$BQ$87:$CD$87,0))/INDEX(고양시_재차인원!$K$4:$O$20,MATCH("경기도",고양시_재차인원!$K$4:$K$20,0),MATCH(DP$87,고양시_재차인원!$K$4:$O$4,0))</f>
        <v>1.1636685656787288E-3</v>
      </c>
      <c r="DQ95" s="267">
        <f>INDEX($BQ$86:$CD$100,MATCH($CW95,$L$86:$L$100,0),MATCH(DQ$87,$BQ$87:$CD$87,0))/INDEX(고양시_재차인원!$D$4:$H$35,MATCH("고양시",고양시_재차인원!$B$4:$B$35,0),MATCH($DN$86,고양시_재차인원!$D$4:$H$4,0))</f>
        <v>2.888434805806487E-2</v>
      </c>
      <c r="DR95" s="270">
        <f t="shared" si="71"/>
        <v>1459.5215386466784</v>
      </c>
      <c r="DS95" s="270">
        <f t="shared" si="64"/>
        <v>1.4699010233881296E-2</v>
      </c>
      <c r="DT95" s="270">
        <f t="shared" si="65"/>
        <v>4.086324845019</v>
      </c>
      <c r="DU95" s="270">
        <f t="shared" si="66"/>
        <v>93.722199589899404</v>
      </c>
      <c r="DW95" s="278" t="s">
        <v>168</v>
      </c>
      <c r="DX95" s="278" t="s">
        <v>168</v>
      </c>
      <c r="DY95" s="281">
        <f t="shared" si="72"/>
        <v>1553.2437382365779</v>
      </c>
      <c r="DZ95" s="281">
        <f t="shared" si="73"/>
        <v>4.1010238552528815</v>
      </c>
      <c r="EB95" s="278" t="s">
        <v>47</v>
      </c>
      <c r="EC95" s="278" t="s">
        <v>47</v>
      </c>
      <c r="ED95" s="281">
        <f t="shared" ref="ED95:ED99" si="81">DY96</f>
        <v>236.11834111912032</v>
      </c>
      <c r="EE95" s="281">
        <f t="shared" si="80"/>
        <v>0.62342240677023852</v>
      </c>
      <c r="EK95" s="420" t="s">
        <v>168</v>
      </c>
      <c r="EL95" s="420" t="s">
        <v>168</v>
      </c>
      <c r="EM95" s="420" t="s">
        <v>79</v>
      </c>
      <c r="EN95" s="420">
        <v>36231.236499999999</v>
      </c>
      <c r="EO95" s="420">
        <v>0.21506476976864181</v>
      </c>
      <c r="EP95" s="421">
        <v>849008</v>
      </c>
      <c r="EQ95" s="422">
        <f t="shared" si="75"/>
        <v>324.5276387601188</v>
      </c>
      <c r="ER95" s="422">
        <f t="shared" si="76"/>
        <v>0.85684915733516731</v>
      </c>
      <c r="ES95">
        <v>0</v>
      </c>
      <c r="EU95" s="306" t="s">
        <v>168</v>
      </c>
      <c r="EV95" s="306" t="s">
        <v>168</v>
      </c>
      <c r="EW95" s="306" t="s">
        <v>79</v>
      </c>
      <c r="EX95" s="306">
        <v>36231.236499999999</v>
      </c>
      <c r="EY95" s="306">
        <v>0.21506476976864181</v>
      </c>
      <c r="EZ95" s="307">
        <v>849008</v>
      </c>
      <c r="FA95" s="308">
        <f t="shared" si="77"/>
        <v>324.5276387601188</v>
      </c>
      <c r="FB95" s="308">
        <f t="shared" si="68"/>
        <v>0.85684915733516731</v>
      </c>
      <c r="FD95" s="101"/>
      <c r="FE95" s="101"/>
      <c r="FF95" s="101"/>
      <c r="FG95" s="101"/>
      <c r="FH95" s="101"/>
      <c r="FI95" s="374"/>
      <c r="FJ95" s="404"/>
      <c r="FK95" s="404"/>
    </row>
    <row r="96" spans="1:167" ht="25">
      <c r="A96" s="205" t="s">
        <v>47</v>
      </c>
      <c r="B96" s="205" t="s">
        <v>47</v>
      </c>
      <c r="C96" s="201">
        <f>$K37*KTDB_TripDistribution_2045!T$12</f>
        <v>74.323745628711777</v>
      </c>
      <c r="D96" s="201">
        <f>$K37*KTDB_TripDistribution_2045!U$12</f>
        <v>537.89615239338013</v>
      </c>
      <c r="E96" s="201">
        <f>$K37*KTDB_TripDistribution_2045!V$12</f>
        <v>30.857770858027536</v>
      </c>
      <c r="F96" s="201">
        <f>$K37*KTDB_TripDistribution_2045!W$12</f>
        <v>4.8493091971756302E-2</v>
      </c>
      <c r="G96" s="201">
        <f>$K37*KTDB_TripDistribution_2045!X$12</f>
        <v>0.18319612522663478</v>
      </c>
      <c r="H96" s="201">
        <f>$K37*KTDB_TripDistribution_2045!Y$12</f>
        <v>643.30935809731784</v>
      </c>
      <c r="I96" s="56"/>
      <c r="J96" s="56"/>
      <c r="K96" s="206" t="s">
        <v>47</v>
      </c>
      <c r="L96" s="206" t="s">
        <v>47</v>
      </c>
      <c r="M96" s="206">
        <f>INDEX($A$87:$H$100,MATCH($L96,$B$87:$B$100,0),MATCH($M$86,$A$87:$H$87,0))*고양시_Modal_split!C$3 * 0.01</f>
        <v>0.20810648776039295</v>
      </c>
      <c r="N96" s="206">
        <f>INDEX($A$87:$H$100,MATCH($L96,$B$87:$B$100,0),MATCH($M$86,$A$87:$H$87,0))*고양시_Modal_split!D$3 * 0.01</f>
        <v>34.954457569183148</v>
      </c>
      <c r="O96" s="206">
        <f>INDEX($A$87:$H$100,MATCH($L96,$B$87:$B$100,0),MATCH($M$86,$A$87:$H$87,0))*고양시_Modal_split!E$3 * 0.01</f>
        <v>4.2290211262736994</v>
      </c>
      <c r="P96" s="206">
        <f>INDEX($A$87:$H$100,MATCH($L96,$B$87:$B$100,0),MATCH($M$86,$A$87:$H$87,0))*고양시_Modal_split!F$3 * 0.01</f>
        <v>6.8154874741528708</v>
      </c>
      <c r="Q96" s="206">
        <f>INDEX($A$87:$H$100,MATCH($L96,$B$87:$B$100,0),MATCH($M$86,$A$87:$H$87,0))*고양시_Modal_split!G$3 * 0.01</f>
        <v>0.68377845978414831</v>
      </c>
      <c r="R96" s="206">
        <f>INDEX($A$87:$H$100,MATCH($L96,$B$87:$B$100,0),MATCH($M$86,$A$87:$H$87,0))*고양시_Modal_split!H$3 * 0.01</f>
        <v>7.4323745628711779E-3</v>
      </c>
      <c r="S96" s="206">
        <f>INDEX($A$87:$H$100,MATCH($L96,$B$87:$B$100,0),MATCH($M$86,$A$87:$H$87,0))*고양시_Modal_split!I$3 * 0.01</f>
        <v>2.066200128478187</v>
      </c>
      <c r="T96" s="206">
        <f>INDEX($A$87:$H$100,MATCH($L96,$B$87:$B$100,0),MATCH($M$86,$A$87:$H$87,0))*고양시_Modal_split!J$3 * 0.01</f>
        <v>22.624148169379865</v>
      </c>
      <c r="U96" s="206">
        <f>INDEX($A$87:$H$100,MATCH($L96,$B$87:$B$100,0),MATCH($M$86,$A$87:$H$87,0))*고양시_Modal_split!K$3 * 0.01</f>
        <v>0.11148561844306766</v>
      </c>
      <c r="V96" s="206">
        <f>INDEX($A$87:$H$100,MATCH($L96,$B$87:$B$100,0),MATCH($M$86,$A$87:$H$87,0))*고양시_Modal_split!L$3 * 0.01</f>
        <v>2.2445771179870957</v>
      </c>
      <c r="W96" s="206">
        <f>INDEX($A$87:$H$100,MATCH($L96,$B$87:$B$100,0),MATCH($M$86,$A$87:$H$87,0))*고양시_Modal_split!M$3 * 0.01</f>
        <v>0.17094461494603708</v>
      </c>
      <c r="X96" s="206">
        <f>INDEX($A$87:$H$100,MATCH($L96,$B$87:$B$100,0),MATCH($M$86,$A$87:$H$87,0))*고양시_Modal_split!N$3 * 0.01</f>
        <v>7.4323745628711788E-2</v>
      </c>
      <c r="Y96" s="206">
        <f>INDEX($A$87:$H$100,MATCH($L96,$B$87:$B$100,0),MATCH($M$86,$A$87:$H$87,0))*고양시_Modal_split!O$3 * 0.01</f>
        <v>0.1337827421316812</v>
      </c>
      <c r="Z96" s="209">
        <f>INDEX($A$87:$H$100,MATCH($L96,$B$87:$B$100,0),MATCH($M$86,$A$87:$H$87,0))*고양시_Modal_split!P$3 * 0.01</f>
        <v>74.323745628711777</v>
      </c>
      <c r="AA96" s="207">
        <f>INDEX($A$87:$H$100,MATCH($L96,$B$87:$B$100,0),MATCH($AA$86,$A$87:$H$87,0))*고양시_Modal_split!C$3 * 0.01</f>
        <v>1.5061092267014642</v>
      </c>
      <c r="AB96" s="207">
        <f>INDEX($A$87:$H$100,MATCH($L96,$B$87:$B$100,0),MATCH($AA$86,$A$87:$H$87,0))*고양시_Modal_split!D$3 * 0.01</f>
        <v>252.97256047060671</v>
      </c>
      <c r="AC96" s="207">
        <f>INDEX($A$87:$H$100,MATCH($L96,$B$87:$B$100,0),MATCH($AA$86,$A$87:$H$87,0))*고양시_Modal_split!E$3 * 0.01</f>
        <v>30.606291071183328</v>
      </c>
      <c r="AD96" s="207">
        <f>INDEX($A$87:$H$100,MATCH($L96,$B$87:$B$100,0),MATCH($AA$86,$A$87:$H$87,0))*고양시_Modal_split!F$3 * 0.01</f>
        <v>49.325077174472952</v>
      </c>
      <c r="AE96" s="207">
        <f>INDEX($A$87:$H$100,MATCH($L96,$B$87:$B$100,0),MATCH($AA$86,$A$87:$H$87,0))*고양시_Modal_split!G$3 * 0.01</f>
        <v>4.9486446020190975</v>
      </c>
      <c r="AF96" s="207">
        <f>INDEX($A$87:$H$100,MATCH($L96,$B$87:$B$100,0),MATCH($AA$86,$A$87:$H$87,0))*고양시_Modal_split!H$3 * 0.01</f>
        <v>5.3789615239338014E-2</v>
      </c>
      <c r="AG96" s="207">
        <f>INDEX($A$87:$H$100,MATCH($L96,$B$87:$B$100,0),MATCH($AA$86,$A$87:$H$87,0))*고양시_Modal_split!I$3 * 0.01</f>
        <v>14.953513036535966</v>
      </c>
      <c r="AH96" s="207">
        <f>INDEX($A$87:$H$100,MATCH($L96,$B$87:$B$100,0),MATCH($AA$86,$A$87:$H$87,0))*고양시_Modal_split!J$3 * 0.01</f>
        <v>163.73558878854493</v>
      </c>
      <c r="AI96" s="207">
        <f>INDEX($A$87:$H$100,MATCH($L96,$B$87:$B$100,0),MATCH($AA$86,$A$87:$H$87,0))*고양시_Modal_split!K$3 * 0.01</f>
        <v>0.80684422859007021</v>
      </c>
      <c r="AJ96" s="207">
        <f>INDEX($A$87:$H$100,MATCH($L96,$B$87:$B$100,0),MATCH($AA$86,$A$87:$H$87,0))*고양시_Modal_split!L$3 * 0.01</f>
        <v>16.24446380228008</v>
      </c>
      <c r="AK96" s="207">
        <f>INDEX($A$87:$H$100,MATCH($L96,$B$87:$B$100,0),MATCH($AA$86,$A$87:$H$87,0))*고양시_Modal_split!M$3 * 0.01</f>
        <v>1.2371611505047744</v>
      </c>
      <c r="AL96" s="207">
        <f>INDEX($A$87:$H$100,MATCH($L96,$B$87:$B$100,0),MATCH($AA$86,$A$87:$H$87,0))*고양시_Modal_split!N$3 * 0.01</f>
        <v>0.53789615239338018</v>
      </c>
      <c r="AM96" s="207">
        <f>INDEX($A$87:$H$100,MATCH($L96,$B$87:$B$100,0),MATCH($AA$86,$A$87:$H$87,0))*고양시_Modal_split!O$3 * 0.01</f>
        <v>0.96821307430808423</v>
      </c>
      <c r="AN96" s="207">
        <f>INDEX($A$87:$H$100,MATCH($L96,$B$87:$B$100,0),MATCH($AA$86,$A$87:$H$87,0))*고양시_Modal_split!P$3 * 0.01</f>
        <v>537.89615239338013</v>
      </c>
      <c r="AO96" s="303">
        <f>INDEX($A$87:$H$100,MATCH($L96,$B$87:$B$100,0),MATCH($AO$86,$A$87:$H$87,0))*고양시_Modal_split!C$3 * 0.01</f>
        <v>8.6401758402477088E-2</v>
      </c>
      <c r="AP96" s="303">
        <f>INDEX($A$87:$H$100,MATCH($L96,$B$87:$B$100,0),MATCH($AO$86,$A$87:$H$87,0))*고양시_Modal_split!D$3 * 0.01</f>
        <v>14.51240963453035</v>
      </c>
      <c r="AQ96" s="303">
        <f>INDEX($A$87:$H$100,MATCH($L96,$B$87:$B$100,0),MATCH($AO$86,$A$87:$H$87,0))*고양시_Modal_split!E$3 * 0.01</f>
        <v>1.7558071618217668</v>
      </c>
      <c r="AR96" s="303">
        <f>INDEX($A$87:$H$100,MATCH($L96,$B$87:$B$100,0),MATCH($AO$86,$A$87:$H$87,0))*고양시_Modal_split!F$3 * 0.01</f>
        <v>2.8296575876811252</v>
      </c>
      <c r="AS96" s="303">
        <f>INDEX($A$87:$H$100,MATCH($L96,$B$87:$B$100,0),MATCH($AO$86,$A$87:$H$87,0))*고양시_Modal_split!G$3 * 0.01</f>
        <v>0.28389149189385332</v>
      </c>
      <c r="AT96" s="303">
        <f>INDEX($A$87:$H$100,MATCH($L96,$B$87:$B$100,0),MATCH($AO$86,$A$87:$H$87,0))*고양시_Modal_split!H$3 * 0.01</f>
        <v>3.0857770858027538E-3</v>
      </c>
      <c r="AU96" s="303">
        <f>INDEX($A$87:$H$100,MATCH($L96,$B$87:$B$100,0),MATCH($AO$86,$A$87:$H$87,0))*고양시_Modal_split!I$3 * 0.01</f>
        <v>0.85784602985316538</v>
      </c>
      <c r="AV96" s="303">
        <f>INDEX($A$87:$H$100,MATCH($L96,$B$87:$B$100,0),MATCH($AO$86,$A$87:$H$87,0))*고양시_Modal_split!J$3 * 0.01</f>
        <v>9.393105449183583</v>
      </c>
      <c r="AW96" s="303">
        <f>INDEX($A$87:$H$100,MATCH($L96,$B$87:$B$100,0),MATCH($AO$86,$A$87:$H$87,0))*고양시_Modal_split!K$3 * 0.01</f>
        <v>4.6286656287041303E-2</v>
      </c>
      <c r="AX96" s="303">
        <f>INDEX($A$87:$H$100,MATCH($L96,$B$87:$B$100,0),MATCH($AO$86,$A$87:$H$87,0))*고양시_Modal_split!L$3 * 0.01</f>
        <v>0.93190467991243153</v>
      </c>
      <c r="AY96" s="303">
        <f>INDEX($A$87:$H$100,MATCH($L96,$B$87:$B$100,0),MATCH($AO$86,$A$87:$H$87,0))*고양시_Modal_split!M$3 * 0.01</f>
        <v>7.097287297346333E-2</v>
      </c>
      <c r="AZ96" s="303">
        <f>INDEX($A$87:$H$100,MATCH($L96,$B$87:$B$100,0),MATCH($AO$86,$A$87:$H$87,0))*고양시_Modal_split!N$3 * 0.01</f>
        <v>3.0857770858027538E-2</v>
      </c>
      <c r="BA96" s="207">
        <f>INDEX($A$87:$H$100,MATCH($L96,$B$87:$B$100,0),MATCH($AO$86,$A$87:$H$87,0))*고양시_Modal_split!O$3 * 0.01</f>
        <v>5.5543987544449565E-2</v>
      </c>
      <c r="BB96" s="207">
        <f>INDEX($A$87:$H$100,MATCH($L96,$B$87:$B$100,0),MATCH($AO$86,$A$87:$H$87,0))*고양시_Modal_split!P$3 * 0.01</f>
        <v>30.857770858027536</v>
      </c>
      <c r="BC96" s="207">
        <f>INDEX($A$87:$H$100,MATCH($L96,$B$87:$B$100,0),MATCH($BC$86,$A$87:$H$87,0))*고양시_Modal_split!C$3 * 0.01</f>
        <v>1.3578065752091765E-4</v>
      </c>
      <c r="BD96" s="207">
        <f>INDEX($A$87:$H$100,MATCH($L96,$B$87:$B$100,0),MATCH($BC$86,$A$87:$H$87,0))*고양시_Modal_split!D$3 * 0.01</f>
        <v>2.2806301154316987E-2</v>
      </c>
      <c r="BE96" s="207">
        <f>INDEX($A$87:$H$100,MATCH($L96,$B$87:$B$100,0),MATCH($BC$86,$A$87:$H$87,0))*고양시_Modal_split!E$3 * 0.01</f>
        <v>2.7592569331929334E-3</v>
      </c>
      <c r="BF96" s="207">
        <f>INDEX($A$87:$H$100,MATCH($L96,$B$87:$B$100,0),MATCH($BC$86,$A$87:$H$87,0))*고양시_Modal_split!F$3 * 0.01</f>
        <v>4.4468165338100527E-3</v>
      </c>
      <c r="BG96" s="207">
        <f>INDEX($A$87:$H$100,MATCH($L96,$B$87:$B$100,0),MATCH($BC$86,$A$87:$H$87,0))*고양시_Modal_split!G$3 * 0.01</f>
        <v>4.4613644614015799E-4</v>
      </c>
      <c r="BH96" s="207">
        <f>INDEX($A$87:$H$100,MATCH($L96,$B$87:$B$100,0),MATCH($BC$86,$A$87:$H$87,0))*고양시_Modal_split!H$3 * 0.01</f>
        <v>4.8493091971756303E-6</v>
      </c>
      <c r="BI96" s="207">
        <f>INDEX($A$87:$H$100,MATCH($L96,$B$87:$B$100,0),MATCH($BC$86,$A$87:$H$87,0))*고양시_Modal_split!I$3 * 0.01</f>
        <v>1.3481079568148252E-3</v>
      </c>
      <c r="BJ96" s="207">
        <f>INDEX($A$87:$H$100,MATCH($L96,$B$87:$B$100,0),MATCH($BC$86,$A$87:$H$87,0))*고양시_Modal_split!J$3 * 0.01</f>
        <v>1.4761297196202618E-2</v>
      </c>
      <c r="BK96" s="207">
        <f>INDEX($A$87:$H$100,MATCH($L96,$B$87:$B$100,0),MATCH($BC$86,$A$87:$H$87,0))*고양시_Modal_split!K$3 * 0.01</f>
        <v>7.2739637957634456E-5</v>
      </c>
      <c r="BL96" s="207">
        <f>INDEX($A$87:$H$100,MATCH($L96,$B$87:$B$100,0),MATCH($BC$86,$A$87:$H$87,0))*고양시_Modal_split!L$3 * 0.01</f>
        <v>1.4644913775470403E-3</v>
      </c>
      <c r="BM96" s="207">
        <f>INDEX($A$87:$H$100,MATCH($L96,$B$87:$B$100,0),MATCH($BC$86,$A$87:$H$87,0))*고양시_Modal_split!M$3 * 0.01</f>
        <v>1.115341115350395E-4</v>
      </c>
      <c r="BN96" s="207">
        <f>INDEX($A$87:$H$100,MATCH($L96,$B$87:$B$100,0),MATCH($BC$86,$A$87:$H$87,0))*고양시_Modal_split!N$3 * 0.01</f>
        <v>4.8493091971756306E-5</v>
      </c>
      <c r="BO96" s="207">
        <f>INDEX($A$87:$H$100,MATCH($L96,$B$87:$B$100,0),MATCH($BC$86,$A$87:$H$87,0))*고양시_Modal_split!O$3 * 0.01</f>
        <v>8.7287565549161342E-5</v>
      </c>
      <c r="BP96" s="207">
        <f>INDEX($A$87:$H$100,MATCH($L96,$B$87:$B$100,0),MATCH($BC$86,$A$87:$H$87,0))*고양시_Modal_split!P$3 * 0.01</f>
        <v>4.8493091971756302E-2</v>
      </c>
      <c r="BQ96" s="207">
        <f>INDEX($A$87:$H$100,MATCH($L96,$B$87:$B$100,0),MATCH($BQ$86,$A$87:$H$87,0))*고양시_Modal_split!C$3 * 0.01</f>
        <v>5.1294915063457736E-4</v>
      </c>
      <c r="BR96" s="207">
        <f>INDEX($A$87:$H$100,MATCH($L96,$B$87:$B$100,0),MATCH($BQ$86,$A$87:$H$87,0))*고양시_Modal_split!D$3 * 0.01</f>
        <v>8.6157137694086339E-2</v>
      </c>
      <c r="BS96" s="207">
        <f>INDEX($A$87:$H$100,MATCH($L96,$B$87:$B$100,0),MATCH($BQ$86,$A$87:$H$87,0))*고양시_Modal_split!E$3 * 0.01</f>
        <v>1.0423859525395518E-2</v>
      </c>
      <c r="BT96" s="207">
        <f>INDEX($A$87:$H$100,MATCH($L96,$B$87:$B$100,0),MATCH($BQ$86,$A$87:$H$87,0))*고양시_Modal_split!F$3 * 0.01</f>
        <v>1.6799084683282412E-2</v>
      </c>
      <c r="BU96" s="207">
        <f>INDEX($A$87:$H$100,MATCH($L96,$B$87:$B$100,0),MATCH($BQ$86,$A$87:$H$87,0))*고양시_Modal_split!G$3 * 0.01</f>
        <v>1.6854043520850399E-3</v>
      </c>
      <c r="BV96" s="207">
        <f>INDEX($A$87:$H$100,MATCH($L96,$B$87:$B$100,0),MATCH($BQ$86,$A$87:$H$87,0))*고양시_Modal_split!H$3 * 0.01</f>
        <v>1.8319612522663479E-5</v>
      </c>
      <c r="BW96" s="207">
        <f>INDEX($A$87:$H$100,MATCH($L96,$B$87:$B$100,0),MATCH($BQ$86,$A$87:$H$87,0))*고양시_Modal_split!I$3 * 0.01</f>
        <v>5.0928522813004466E-3</v>
      </c>
      <c r="BX96" s="207">
        <f>INDEX($A$87:$H$100,MATCH($L96,$B$87:$B$100,0),MATCH($BQ$86,$A$87:$H$87,0))*고양시_Modal_split!J$3 * 0.01</f>
        <v>5.5764900518987637E-2</v>
      </c>
      <c r="BY96" s="207">
        <f>INDEX($A$87:$H$100,MATCH($L96,$B$87:$B$100,0),MATCH($BQ$86,$A$87:$H$87,0))*고양시_Modal_split!K$3 * 0.01</f>
        <v>2.7479418783995217E-4</v>
      </c>
      <c r="BZ96" s="207">
        <f>INDEX($A$87:$H$100,MATCH($L96,$B$87:$B$100,0),MATCH($BQ$86,$A$87:$H$87,0))*고양시_Modal_split!L$3 * 0.01</f>
        <v>5.5325229818443704E-3</v>
      </c>
      <c r="CA96" s="207">
        <f>INDEX($A$87:$H$100,MATCH($L96,$B$87:$B$100,0),MATCH($BQ$86,$A$87:$H$87,0))*고양시_Modal_split!M$3 * 0.01</f>
        <v>4.2135108802125997E-4</v>
      </c>
      <c r="CB96" s="207">
        <f>INDEX($A$87:$H$100,MATCH($L96,$B$87:$B$100,0),MATCH($BQ$86,$A$87:$H$87,0))*고양시_Modal_split!N$3 * 0.01</f>
        <v>1.8319612522663478E-4</v>
      </c>
      <c r="CC96" s="207">
        <f>INDEX($A$87:$H$100,MATCH($L96,$B$87:$B$100,0),MATCH($BQ$86,$A$87:$H$87,0))*고양시_Modal_split!O$3 * 0.01</f>
        <v>3.2975302540794263E-4</v>
      </c>
      <c r="CD96" s="207">
        <f>INDEX($A$87:$H$100,MATCH($L96,$B$87:$B$100,0),MATCH($BQ$86,$A$87:$H$87,0))*고양시_Modal_split!P$3 * 0.01</f>
        <v>0.18319612522663481</v>
      </c>
      <c r="CE96" s="304">
        <f t="shared" si="69"/>
        <v>1.8012662026724895</v>
      </c>
      <c r="CF96" s="304">
        <f t="shared" si="51"/>
        <v>302.54839111316863</v>
      </c>
      <c r="CG96" s="304">
        <f t="shared" si="52"/>
        <v>36.604302475737384</v>
      </c>
      <c r="CH96" s="304">
        <f t="shared" si="53"/>
        <v>58.991468137524045</v>
      </c>
      <c r="CI96" s="304">
        <f t="shared" si="54"/>
        <v>5.9184460944953248</v>
      </c>
      <c r="CJ96" s="304">
        <f t="shared" si="55"/>
        <v>6.4330935809731774E-2</v>
      </c>
      <c r="CK96" s="304">
        <f t="shared" si="56"/>
        <v>17.884000155105433</v>
      </c>
      <c r="CL96" s="304">
        <f t="shared" si="57"/>
        <v>195.82336860482357</v>
      </c>
      <c r="CM96" s="304">
        <f t="shared" si="58"/>
        <v>0.96496403714597678</v>
      </c>
      <c r="CN96" s="304">
        <f t="shared" si="59"/>
        <v>19.427942614538999</v>
      </c>
      <c r="CO96" s="304">
        <f t="shared" si="60"/>
        <v>1.4796115236238312</v>
      </c>
      <c r="CP96" s="304">
        <f t="shared" si="61"/>
        <v>0.64330935809731793</v>
      </c>
      <c r="CQ96" s="304">
        <f t="shared" si="62"/>
        <v>1.1579568445751722</v>
      </c>
      <c r="CR96" s="304">
        <f t="shared" si="63"/>
        <v>643.30935809731784</v>
      </c>
      <c r="CS96" s="305">
        <f t="shared" si="70"/>
        <v>0</v>
      </c>
      <c r="CV96" s="267" t="s">
        <v>47</v>
      </c>
      <c r="CW96" s="267" t="s">
        <v>47</v>
      </c>
      <c r="CX96" s="267">
        <f>INDEX($M$86:$Z$100,MATCH($CW96,$L$86:$L$100,0),MATCH(CX$87,$M$87:$Z$87,0))/INDEX(고양시_재차인원!$D$4:$H$35,MATCH("고양시",고양시_재차인원!$B$4:$B$35,0),MATCH($CX$86,고양시_재차인원!$D$4:$H$4,0))</f>
        <v>31.209337115342095</v>
      </c>
      <c r="CY96" s="267">
        <f>INDEX($M$86:$Z$100,MATCH($CW96,$L$86:$L$100,0),MATCH(CY$87,$M$87:$Z$87,0))/INDEX(고양시_재차인원!$K$4:$O$20,MATCH("경기도",고양시_재차인원!$K$4:$K$20,0),MATCH($CY$87,고양시_재차인원!$K$4:$O$4,0))</f>
        <v>2.5815819947451121E-4</v>
      </c>
      <c r="CZ96" s="267">
        <f>INDEX($M$86:$Z$100,MATCH($CW96,$L$86:$L$100,0),MATCH(CZ$87,$M$87:$Z$87,0))/INDEX(고양시_재차인원!$K$4:$O$20,MATCH("경기도",고양시_재차인원!$K$4:$K$20,0),MATCH($CZ$87,고양시_재차인원!$K$4:$O$4,0))</f>
        <v>7.176797945391411E-2</v>
      </c>
      <c r="DA96" s="267">
        <f>INDEX($M$86:$Z$100,MATCH($CW96,$L$86:$L$100,0),MATCH(DA$87,$M$87:$Z$87,0))/INDEX(고양시_재차인원!$D$4:$H$35,MATCH("고양시",고양시_재차인원!$B$4:$B$35,0),MATCH($CX$86,고양시_재차인원!$D$4:$H$4,0))</f>
        <v>2.004086712488478</v>
      </c>
      <c r="DB96" s="267">
        <f>INDEX($AA$86:$AN$100,MATCH($CW96,$L$86:$L$100,0),MATCH(DB$87,$AA$87:$AN$87,0))/INDEX(고양시_재차인원!$D$4:$H$35,MATCH("고양시",고양시_재차인원!$B$4:$B$35,0),MATCH($DB$86,고양시_재차인원!$D$4:$H$4,0))</f>
        <v>179.413163454331</v>
      </c>
      <c r="DC96" s="267">
        <f>INDEX($AA$86:$AN$100,MATCH($CW96,$L$86:$L$100,0),MATCH(DC$87,$AA$87:$AN$87,0))/INDEX(고양시_재차인원!$K$4:$O$20,MATCH("경기도",고양시_재차인원!$K$4:$K$20,0),MATCH(DC$87,고양시_재차인원!$K$4:$O$4,0))</f>
        <v>1.8683437040409175E-3</v>
      </c>
      <c r="DD96" s="267">
        <f>INDEX($AA$86:$AN$100,MATCH($CW96,$L$86:$L$100,0),MATCH(DD$87,$AA$87:$AN$87,0))/INDEX(고양시_재차인원!$K$4:$O$20,MATCH("경기도",고양시_재차인원!$K$4:$K$20,0),MATCH(DD$87,고양시_재차인원!$K$4:$O$4,0))</f>
        <v>0.51939954972337499</v>
      </c>
      <c r="DE96" s="267">
        <f>INDEX($AA$86:$AN$100,MATCH($CW96,$L$86:$L$100,0),MATCH(DE$87,$AA$87:$AN$87,0))/INDEX(고양시_재차인원!$D$4:$H$35,MATCH("고양시",고양시_재차인원!$B$4:$B$35,0),MATCH($DB$86,고양시_재차인원!$D$4:$H$4,0))</f>
        <v>11.520896313673816</v>
      </c>
      <c r="DF96" s="267">
        <f>INDEX($AO$86:$BB$100,MATCH($CW96,$L$86:$L$100,0),MATCH(DF$87,$AO$87:$BB$87,0))/INDEX(고양시_재차인원!$D$4:$H$35,MATCH("고양시",고양시_재차인원!$B$4:$B$35,0),MATCH($DF$86,고양시_재차인원!$D$4:$H$4,0))</f>
        <v>11.163392026561807</v>
      </c>
      <c r="DG96" s="267">
        <f>INDEX($AO$86:$BB$100,MATCH($CW96,$L$86:$L$100,0),MATCH(DG$87,$AO$87:$BB$87,0))/INDEX(고양시_재차인원!$K$4:$O$20,MATCH("경기도",고양시_재차인원!$K$4:$K$20,0),MATCH(DG$87,고양시_재차인원!$K$4:$O$4,0))</f>
        <v>1.0718225376181848E-4</v>
      </c>
      <c r="DH96" s="267">
        <f>INDEX($AO$86:$BB$100,MATCH($CW96,$L$86:$L$100,0),MATCH(DH$87,$AO$87:$BB$87,0))/INDEX(고양시_재차인원!$K$4:$O$20,MATCH("경기도",고양시_재차인원!$K$4:$K$20,0),MATCH(DH$87,고양시_재차인원!$K$4:$O$4,0))</f>
        <v>2.9796666545785531E-2</v>
      </c>
      <c r="DI96" s="267">
        <f>INDEX($AO$86:$BB$100,MATCH($CW96,$L$86:$L$100,0),MATCH(DI$87,$AO$87:$BB$87,0))/INDEX(고양시_재차인원!$D$4:$H$35,MATCH("고양시",고양시_재차인원!$B$4:$B$35,0),MATCH($DF$86,고양시_재차인원!$D$4:$H$4,0))</f>
        <v>0.71684975377879345</v>
      </c>
      <c r="DJ96" s="267">
        <f>INDEX($BC$86:$BP$100,MATCH($CW96,$L$86:$L$100,0),MATCH(DJ$87,$BC$87:$BP$87,0))/INDEX(고양시_재차인원!$D$4:$H$35,MATCH("고양시",고양시_재차인원!$B$4:$B$35,0),MATCH($DJ$86,고양시_재차인원!$D$4:$H$4,0))</f>
        <v>1.6769339084056607E-2</v>
      </c>
      <c r="DK96" s="267">
        <f>INDEX($BC$86:$BP$100,MATCH($CW96,$L$86:$L$100,0),MATCH(DK$87,$BC$87:$BP$87,0))/INDEX(고양시_재차인원!$K$4:$O$20,MATCH("경기도",고양시_재차인원!$K$4:$K$20,0),MATCH(DK$87,고양시_재차인원!$K$4:$O$4,0))</f>
        <v>1.6843727673413096E-7</v>
      </c>
      <c r="DL96" s="267">
        <f>INDEX($BC$86:$BP$100,MATCH($CW96,$L$86:$L$100,0),MATCH(DL$87,$BC$87:$BP$87,0))/INDEX(고양시_재차인원!$K$4:$O$20,MATCH("경기도",고양시_재차인원!$K$4:$K$20,0),MATCH(DL$87,고양시_재차인원!$K$4:$O$4,0))</f>
        <v>4.6825562932088408E-5</v>
      </c>
      <c r="DM96" s="267">
        <f>INDEX($BC$86:$BP$100,MATCH($CW96,$L$86:$L$100,0),MATCH(DM$87,$BC$87:$BP$87,0))/INDEX(고양시_재차인원!$D$4:$H$35,MATCH("고양시",고양시_재차인원!$B$4:$B$35,0),MATCH($DJ$86,고양시_재차인원!$D$4:$H$4,0))</f>
        <v>1.0768318952551767E-3</v>
      </c>
      <c r="DN96" s="267">
        <f>INDEX($BQ$86:$CD$100,MATCH($CW96,$L$86:$L$100,0),MATCH(DN$87,$BQ$87:$CD$87,0))/INDEX(고양시_재차인원!$D$4:$H$35,MATCH("고양시",고양시_재차인원!$B$4:$B$35,0),MATCH($DN$86,고양시_재차인원!$D$4:$H$4,0))</f>
        <v>6.8378680709592327E-2</v>
      </c>
      <c r="DO96" s="267">
        <f>INDEX($BQ$86:$CD$100,MATCH($CW96,$L$86:$L$100,0),MATCH(DO$87,$BQ$87:$CD$87,0))/INDEX(고양시_재차인원!$K$4:$O$20,MATCH("경기도",고양시_재차인원!$K$4:$K$20,0),MATCH(DO$87,고양시_재차인원!$K$4:$O$4,0))</f>
        <v>6.3631860099560536E-7</v>
      </c>
      <c r="DP96" s="267">
        <f>INDEX($BQ$86:$CD$100,MATCH($CW96,$L$86:$L$100,0),MATCH(DP$87,$BQ$87:$CD$87,0))/INDEX(고양시_재차인원!$K$4:$O$20,MATCH("경기도",고양시_재차인원!$K$4:$K$20,0),MATCH(DP$87,고양시_재차인원!$K$4:$O$4,0))</f>
        <v>1.768965710767783E-4</v>
      </c>
      <c r="DQ96" s="267">
        <f>INDEX($BQ$86:$CD$100,MATCH($CW96,$L$86:$L$100,0),MATCH(DQ$87,$BQ$87:$CD$87,0))/INDEX(고양시_재차인원!$D$4:$H$35,MATCH("고양시",고양시_재차인원!$B$4:$B$35,0),MATCH($DN$86,고양시_재차인원!$D$4:$H$4,0))</f>
        <v>4.3908912554320402E-3</v>
      </c>
      <c r="DR96" s="270">
        <f t="shared" si="71"/>
        <v>221.87104061602855</v>
      </c>
      <c r="DS96" s="270">
        <f t="shared" si="64"/>
        <v>2.2344889131549763E-3</v>
      </c>
      <c r="DT96" s="270">
        <f t="shared" si="65"/>
        <v>0.62118791785708349</v>
      </c>
      <c r="DU96" s="270">
        <f t="shared" si="66"/>
        <v>14.247300503091775</v>
      </c>
      <c r="DW96" s="278" t="s">
        <v>47</v>
      </c>
      <c r="DX96" s="278" t="s">
        <v>47</v>
      </c>
      <c r="DY96" s="281">
        <f t="shared" si="72"/>
        <v>236.11834111912032</v>
      </c>
      <c r="DZ96" s="281">
        <f t="shared" si="73"/>
        <v>0.62342240677023852</v>
      </c>
      <c r="EB96" s="278" t="s">
        <v>169</v>
      </c>
      <c r="EC96" s="278" t="s">
        <v>169</v>
      </c>
      <c r="ED96" s="281">
        <f t="shared" si="81"/>
        <v>378.82266529218481</v>
      </c>
      <c r="EE96" s="281">
        <f t="shared" si="80"/>
        <v>1.0002041205957213</v>
      </c>
      <c r="EK96" s="420" t="s">
        <v>168</v>
      </c>
      <c r="EL96" s="420" t="s">
        <v>168</v>
      </c>
      <c r="EM96" s="420" t="s">
        <v>223</v>
      </c>
      <c r="EN96" s="420">
        <v>69072.016600000003</v>
      </c>
      <c r="EO96" s="420">
        <v>0.41000415063214324</v>
      </c>
      <c r="EP96" s="421">
        <v>849009</v>
      </c>
      <c r="EQ96" s="422">
        <f t="shared" si="75"/>
        <v>618.68654280120222</v>
      </c>
      <c r="ER96" s="422">
        <f t="shared" si="76"/>
        <v>1.6335158536240044</v>
      </c>
      <c r="ES96">
        <v>0</v>
      </c>
      <c r="EU96" s="306" t="s">
        <v>168</v>
      </c>
      <c r="EV96" s="306" t="s">
        <v>168</v>
      </c>
      <c r="EW96" s="306" t="s">
        <v>223</v>
      </c>
      <c r="EX96" s="306">
        <v>69072.016600000003</v>
      </c>
      <c r="EY96" s="306">
        <v>0.41000415063214324</v>
      </c>
      <c r="EZ96" s="307">
        <v>849009</v>
      </c>
      <c r="FA96" s="308">
        <f t="shared" si="77"/>
        <v>618.68654280120222</v>
      </c>
      <c r="FB96" s="308">
        <f t="shared" si="68"/>
        <v>1.6335158536240044</v>
      </c>
      <c r="FD96" s="101"/>
      <c r="FE96" s="101"/>
      <c r="FF96" s="101"/>
      <c r="FG96" s="101"/>
      <c r="FH96" s="101"/>
      <c r="FI96" s="374"/>
      <c r="FJ96" s="404"/>
      <c r="FK96" s="404"/>
    </row>
    <row r="97" spans="1:167" ht="25">
      <c r="A97" s="205" t="s">
        <v>169</v>
      </c>
      <c r="B97" s="205" t="s">
        <v>169</v>
      </c>
      <c r="C97" s="201">
        <f>$K38*KTDB_TripDistribution_2045!T$12</f>
        <v>119.24325437879756</v>
      </c>
      <c r="D97" s="201">
        <f>$K38*KTDB_TripDistribution_2045!U$12</f>
        <v>862.98782692731208</v>
      </c>
      <c r="E97" s="201">
        <f>$K38*KTDB_TripDistribution_2045!V$12</f>
        <v>49.507475556573347</v>
      </c>
      <c r="F97" s="201">
        <f>$K38*KTDB_TripDistribution_2045!W$12</f>
        <v>7.7801166406349043E-2</v>
      </c>
      <c r="G97" s="201">
        <f>$K38*KTDB_TripDistribution_2045!X$12</f>
        <v>0.29391551753509615</v>
      </c>
      <c r="H97" s="201">
        <f>$K38*KTDB_TripDistribution_2045!Y$12</f>
        <v>1032.1102735466243</v>
      </c>
      <c r="I97" s="56"/>
      <c r="J97" s="56"/>
      <c r="K97" s="206" t="s">
        <v>169</v>
      </c>
      <c r="L97" s="206" t="s">
        <v>169</v>
      </c>
      <c r="M97" s="206">
        <f>INDEX($A$87:$H$100,MATCH($L97,$B$87:$B$100,0),MATCH($M$86,$A$87:$H$87,0))*고양시_Modal_split!C$3 * 0.01</f>
        <v>0.33388111226063316</v>
      </c>
      <c r="N97" s="206">
        <f>INDEX($A$87:$H$100,MATCH($L97,$B$87:$B$100,0),MATCH($M$86,$A$87:$H$87,0))*고양시_Modal_split!D$3 * 0.01</f>
        <v>56.080102534348491</v>
      </c>
      <c r="O97" s="206">
        <f>INDEX($A$87:$H$100,MATCH($L97,$B$87:$B$100,0),MATCH($M$86,$A$87:$H$87,0))*고양시_Modal_split!E$3 * 0.01</f>
        <v>6.7849411741535803</v>
      </c>
      <c r="P97" s="206">
        <f>INDEX($A$87:$H$100,MATCH($L97,$B$87:$B$100,0),MATCH($M$86,$A$87:$H$87,0))*고양시_Modal_split!F$3 * 0.01</f>
        <v>10.934606426535735</v>
      </c>
      <c r="Q97" s="206">
        <f>INDEX($A$87:$H$100,MATCH($L97,$B$87:$B$100,0),MATCH($M$86,$A$87:$H$87,0))*고양시_Modal_split!G$3 * 0.01</f>
        <v>1.0970379402849375</v>
      </c>
      <c r="R97" s="206">
        <f>INDEX($A$87:$H$100,MATCH($L97,$B$87:$B$100,0),MATCH($M$86,$A$87:$H$87,0))*고양시_Modal_split!H$3 * 0.01</f>
        <v>1.1924325437879758E-2</v>
      </c>
      <c r="S97" s="206">
        <f>INDEX($A$87:$H$100,MATCH($L97,$B$87:$B$100,0),MATCH($M$86,$A$87:$H$87,0))*고양시_Modal_split!I$3 * 0.01</f>
        <v>3.3149624717305723</v>
      </c>
      <c r="T97" s="206">
        <f>INDEX($A$87:$H$100,MATCH($L97,$B$87:$B$100,0),MATCH($M$86,$A$87:$H$87,0))*고양시_Modal_split!J$3 * 0.01</f>
        <v>36.29764663290598</v>
      </c>
      <c r="U97" s="206">
        <f>INDEX($A$87:$H$100,MATCH($L97,$B$87:$B$100,0),MATCH($M$86,$A$87:$H$87,0))*고양시_Modal_split!K$3 * 0.01</f>
        <v>0.17886488156819635</v>
      </c>
      <c r="V97" s="206">
        <f>INDEX($A$87:$H$100,MATCH($L97,$B$87:$B$100,0),MATCH($M$86,$A$87:$H$87,0))*고양시_Modal_split!L$3 * 0.01</f>
        <v>3.6011462822396862</v>
      </c>
      <c r="W97" s="206">
        <f>INDEX($A$87:$H$100,MATCH($L97,$B$87:$B$100,0),MATCH($M$86,$A$87:$H$87,0))*고양시_Modal_split!M$3 * 0.01</f>
        <v>0.27425948507123438</v>
      </c>
      <c r="X97" s="206">
        <f>INDEX($A$87:$H$100,MATCH($L97,$B$87:$B$100,0),MATCH($M$86,$A$87:$H$87,0))*고양시_Modal_split!N$3 * 0.01</f>
        <v>0.11924325437879757</v>
      </c>
      <c r="Y97" s="206">
        <f>INDEX($A$87:$H$100,MATCH($L97,$B$87:$B$100,0),MATCH($M$86,$A$87:$H$87,0))*고양시_Modal_split!O$3 * 0.01</f>
        <v>0.21463785788183562</v>
      </c>
      <c r="Z97" s="209">
        <f>INDEX($A$87:$H$100,MATCH($L97,$B$87:$B$100,0),MATCH($M$86,$A$87:$H$87,0))*고양시_Modal_split!P$3 * 0.01</f>
        <v>119.24325437879756</v>
      </c>
      <c r="AA97" s="207">
        <f>INDEX($A$87:$H$100,MATCH($L97,$B$87:$B$100,0),MATCH($AA$86,$A$87:$H$87,0))*고양시_Modal_split!C$3 * 0.01</f>
        <v>2.4163659153964736</v>
      </c>
      <c r="AB97" s="207">
        <f>INDEX($A$87:$H$100,MATCH($L97,$B$87:$B$100,0),MATCH($AA$86,$A$87:$H$87,0))*고양시_Modal_split!D$3 * 0.01</f>
        <v>405.86317500391488</v>
      </c>
      <c r="AC97" s="207">
        <f>INDEX($A$87:$H$100,MATCH($L97,$B$87:$B$100,0),MATCH($AA$86,$A$87:$H$87,0))*고양시_Modal_split!E$3 * 0.01</f>
        <v>49.104007352164054</v>
      </c>
      <c r="AD97" s="207">
        <f>INDEX($A$87:$H$100,MATCH($L97,$B$87:$B$100,0),MATCH($AA$86,$A$87:$H$87,0))*고양시_Modal_split!F$3 * 0.01</f>
        <v>79.135983729234525</v>
      </c>
      <c r="AE97" s="207">
        <f>INDEX($A$87:$H$100,MATCH($L97,$B$87:$B$100,0),MATCH($AA$86,$A$87:$H$87,0))*고양시_Modal_split!G$3 * 0.01</f>
        <v>7.9394880077312706</v>
      </c>
      <c r="AF97" s="207">
        <f>INDEX($A$87:$H$100,MATCH($L97,$B$87:$B$100,0),MATCH($AA$86,$A$87:$H$87,0))*고양시_Modal_split!H$3 * 0.01</f>
        <v>8.629878269273121E-2</v>
      </c>
      <c r="AG97" s="207">
        <f>INDEX($A$87:$H$100,MATCH($L97,$B$87:$B$100,0),MATCH($AA$86,$A$87:$H$87,0))*고양시_Modal_split!I$3 * 0.01</f>
        <v>23.991061588579274</v>
      </c>
      <c r="AH97" s="207">
        <f>INDEX($A$87:$H$100,MATCH($L97,$B$87:$B$100,0),MATCH($AA$86,$A$87:$H$87,0))*고양시_Modal_split!J$3 * 0.01</f>
        <v>262.69349451667381</v>
      </c>
      <c r="AI97" s="207">
        <f>INDEX($A$87:$H$100,MATCH($L97,$B$87:$B$100,0),MATCH($AA$86,$A$87:$H$87,0))*고양시_Modal_split!K$3 * 0.01</f>
        <v>1.2944817403909681</v>
      </c>
      <c r="AJ97" s="207">
        <f>INDEX($A$87:$H$100,MATCH($L97,$B$87:$B$100,0),MATCH($AA$86,$A$87:$H$87,0))*고양시_Modal_split!L$3 * 0.01</f>
        <v>26.062232373204825</v>
      </c>
      <c r="AK97" s="207">
        <f>INDEX($A$87:$H$100,MATCH($L97,$B$87:$B$100,0),MATCH($AA$86,$A$87:$H$87,0))*고양시_Modal_split!M$3 * 0.01</f>
        <v>1.9848720019328177</v>
      </c>
      <c r="AL97" s="207">
        <f>INDEX($A$87:$H$100,MATCH($L97,$B$87:$B$100,0),MATCH($AA$86,$A$87:$H$87,0))*고양시_Modal_split!N$3 * 0.01</f>
        <v>0.86298782692731213</v>
      </c>
      <c r="AM97" s="207">
        <f>INDEX($A$87:$H$100,MATCH($L97,$B$87:$B$100,0),MATCH($AA$86,$A$87:$H$87,0))*고양시_Modal_split!O$3 * 0.01</f>
        <v>1.5533780884691617</v>
      </c>
      <c r="AN97" s="207">
        <f>INDEX($A$87:$H$100,MATCH($L97,$B$87:$B$100,0),MATCH($AA$86,$A$87:$H$87,0))*고양시_Modal_split!P$3 * 0.01</f>
        <v>862.9878269273122</v>
      </c>
      <c r="AO97" s="303">
        <f>INDEX($A$87:$H$100,MATCH($L97,$B$87:$B$100,0),MATCH($AO$86,$A$87:$H$87,0))*고양시_Modal_split!C$3 * 0.01</f>
        <v>0.13862093155840535</v>
      </c>
      <c r="AP97" s="303">
        <f>INDEX($A$87:$H$100,MATCH($L97,$B$87:$B$100,0),MATCH($AO$86,$A$87:$H$87,0))*고양시_Modal_split!D$3 * 0.01</f>
        <v>23.283365754256447</v>
      </c>
      <c r="AQ97" s="303">
        <f>INDEX($A$87:$H$100,MATCH($L97,$B$87:$B$100,0),MATCH($AO$86,$A$87:$H$87,0))*고양시_Modal_split!E$3 * 0.01</f>
        <v>2.8169753591690232</v>
      </c>
      <c r="AR97" s="303">
        <f>INDEX($A$87:$H$100,MATCH($L97,$B$87:$B$100,0),MATCH($AO$86,$A$87:$H$87,0))*고양시_Modal_split!F$3 * 0.01</f>
        <v>4.5398355085377764</v>
      </c>
      <c r="AS97" s="303">
        <f>INDEX($A$87:$H$100,MATCH($L97,$B$87:$B$100,0),MATCH($AO$86,$A$87:$H$87,0))*고양시_Modal_split!G$3 * 0.01</f>
        <v>0.45546877512047473</v>
      </c>
      <c r="AT97" s="303">
        <f>INDEX($A$87:$H$100,MATCH($L97,$B$87:$B$100,0),MATCH($AO$86,$A$87:$H$87,0))*고양시_Modal_split!H$3 * 0.01</f>
        <v>4.9507475556573354E-3</v>
      </c>
      <c r="AU97" s="303">
        <f>INDEX($A$87:$H$100,MATCH($L97,$B$87:$B$100,0),MATCH($AO$86,$A$87:$H$87,0))*고양시_Modal_split!I$3 * 0.01</f>
        <v>1.376307820472739</v>
      </c>
      <c r="AV97" s="303">
        <f>INDEX($A$87:$H$100,MATCH($L97,$B$87:$B$100,0),MATCH($AO$86,$A$87:$H$87,0))*고양시_Modal_split!J$3 * 0.01</f>
        <v>15.070075559420928</v>
      </c>
      <c r="AW97" s="303">
        <f>INDEX($A$87:$H$100,MATCH($L97,$B$87:$B$100,0),MATCH($AO$86,$A$87:$H$87,0))*고양시_Modal_split!K$3 * 0.01</f>
        <v>7.4261213334860021E-2</v>
      </c>
      <c r="AX97" s="303">
        <f>INDEX($A$87:$H$100,MATCH($L97,$B$87:$B$100,0),MATCH($AO$86,$A$87:$H$87,0))*고양시_Modal_split!L$3 * 0.01</f>
        <v>1.4951257618085152</v>
      </c>
      <c r="AY97" s="303">
        <f>INDEX($A$87:$H$100,MATCH($L97,$B$87:$B$100,0),MATCH($AO$86,$A$87:$H$87,0))*고양시_Modal_split!M$3 * 0.01</f>
        <v>0.11386719378011868</v>
      </c>
      <c r="AZ97" s="303">
        <f>INDEX($A$87:$H$100,MATCH($L97,$B$87:$B$100,0),MATCH($AO$86,$A$87:$H$87,0))*고양시_Modal_split!N$3 * 0.01</f>
        <v>4.9507475556573352E-2</v>
      </c>
      <c r="BA97" s="207">
        <f>INDEX($A$87:$H$100,MATCH($L97,$B$87:$B$100,0),MATCH($AO$86,$A$87:$H$87,0))*고양시_Modal_split!O$3 * 0.01</f>
        <v>8.9113456001832014E-2</v>
      </c>
      <c r="BB97" s="207">
        <f>INDEX($A$87:$H$100,MATCH($L97,$B$87:$B$100,0),MATCH($AO$86,$A$87:$H$87,0))*고양시_Modal_split!P$3 * 0.01</f>
        <v>49.507475556573347</v>
      </c>
      <c r="BC97" s="207">
        <f>INDEX($A$87:$H$100,MATCH($L97,$B$87:$B$100,0),MATCH($BC$86,$A$87:$H$87,0))*고양시_Modal_split!C$3 * 0.01</f>
        <v>2.1784326593777729E-4</v>
      </c>
      <c r="BD97" s="207">
        <f>INDEX($A$87:$H$100,MATCH($L97,$B$87:$B$100,0),MATCH($BC$86,$A$87:$H$87,0))*고양시_Modal_split!D$3 * 0.01</f>
        <v>3.6589888560905955E-2</v>
      </c>
      <c r="BE97" s="207">
        <f>INDEX($A$87:$H$100,MATCH($L97,$B$87:$B$100,0),MATCH($BC$86,$A$87:$H$87,0))*고양시_Modal_split!E$3 * 0.01</f>
        <v>4.4268863685212601E-3</v>
      </c>
      <c r="BF97" s="207">
        <f>INDEX($A$87:$H$100,MATCH($L97,$B$87:$B$100,0),MATCH($BC$86,$A$87:$H$87,0))*고양시_Modal_split!F$3 * 0.01</f>
        <v>7.1343669594622072E-3</v>
      </c>
      <c r="BG97" s="207">
        <f>INDEX($A$87:$H$100,MATCH($L97,$B$87:$B$100,0),MATCH($BC$86,$A$87:$H$87,0))*고양시_Modal_split!G$3 * 0.01</f>
        <v>7.1577073093841126E-4</v>
      </c>
      <c r="BH97" s="207">
        <f>INDEX($A$87:$H$100,MATCH($L97,$B$87:$B$100,0),MATCH($BC$86,$A$87:$H$87,0))*고양시_Modal_split!H$3 * 0.01</f>
        <v>7.7801166406349034E-6</v>
      </c>
      <c r="BI97" s="207">
        <f>INDEX($A$87:$H$100,MATCH($L97,$B$87:$B$100,0),MATCH($BC$86,$A$87:$H$87,0))*고양시_Modal_split!I$3 * 0.01</f>
        <v>2.1628724260965033E-3</v>
      </c>
      <c r="BJ97" s="207">
        <f>INDEX($A$87:$H$100,MATCH($L97,$B$87:$B$100,0),MATCH($BC$86,$A$87:$H$87,0))*고양시_Modal_split!J$3 * 0.01</f>
        <v>2.3682675054092651E-2</v>
      </c>
      <c r="BK97" s="207">
        <f>INDEX($A$87:$H$100,MATCH($L97,$B$87:$B$100,0),MATCH($BC$86,$A$87:$H$87,0))*고양시_Modal_split!K$3 * 0.01</f>
        <v>1.1670174960952356E-4</v>
      </c>
      <c r="BL97" s="207">
        <f>INDEX($A$87:$H$100,MATCH($L97,$B$87:$B$100,0),MATCH($BC$86,$A$87:$H$87,0))*고양시_Modal_split!L$3 * 0.01</f>
        <v>2.349595225471741E-3</v>
      </c>
      <c r="BM97" s="207">
        <f>INDEX($A$87:$H$100,MATCH($L97,$B$87:$B$100,0),MATCH($BC$86,$A$87:$H$87,0))*고양시_Modal_split!M$3 * 0.01</f>
        <v>1.7894268273460282E-4</v>
      </c>
      <c r="BN97" s="207">
        <f>INDEX($A$87:$H$100,MATCH($L97,$B$87:$B$100,0),MATCH($BC$86,$A$87:$H$87,0))*고양시_Modal_split!N$3 * 0.01</f>
        <v>7.780116640634905E-5</v>
      </c>
      <c r="BO97" s="207">
        <f>INDEX($A$87:$H$100,MATCH($L97,$B$87:$B$100,0),MATCH($BC$86,$A$87:$H$87,0))*고양시_Modal_split!O$3 * 0.01</f>
        <v>1.4004209953142826E-4</v>
      </c>
      <c r="BP97" s="207">
        <f>INDEX($A$87:$H$100,MATCH($L97,$B$87:$B$100,0),MATCH($BC$86,$A$87:$H$87,0))*고양시_Modal_split!P$3 * 0.01</f>
        <v>7.7801166406349043E-2</v>
      </c>
      <c r="BQ97" s="207">
        <f>INDEX($A$87:$H$100,MATCH($L97,$B$87:$B$100,0),MATCH($BQ$86,$A$87:$H$87,0))*고양시_Modal_split!C$3 * 0.01</f>
        <v>8.2296344909826922E-4</v>
      </c>
      <c r="BR97" s="207">
        <f>INDEX($A$87:$H$100,MATCH($L97,$B$87:$B$100,0),MATCH($BQ$86,$A$87:$H$87,0))*고양시_Modal_split!D$3 * 0.01</f>
        <v>0.13822846789675572</v>
      </c>
      <c r="BS97" s="207">
        <f>INDEX($A$87:$H$100,MATCH($L97,$B$87:$B$100,0),MATCH($BQ$86,$A$87:$H$87,0))*고양시_Modal_split!E$3 * 0.01</f>
        <v>1.6723792947746969E-2</v>
      </c>
      <c r="BT97" s="207">
        <f>INDEX($A$87:$H$100,MATCH($L97,$B$87:$B$100,0),MATCH($BQ$86,$A$87:$H$87,0))*고양시_Modal_split!F$3 * 0.01</f>
        <v>2.6952052957968316E-2</v>
      </c>
      <c r="BU97" s="207">
        <f>INDEX($A$87:$H$100,MATCH($L97,$B$87:$B$100,0),MATCH($BQ$86,$A$87:$H$87,0))*고양시_Modal_split!G$3 * 0.01</f>
        <v>2.7040227613228844E-3</v>
      </c>
      <c r="BV97" s="207">
        <f>INDEX($A$87:$H$100,MATCH($L97,$B$87:$B$100,0),MATCH($BQ$86,$A$87:$H$87,0))*고양시_Modal_split!H$3 * 0.01</f>
        <v>2.9391551753509618E-5</v>
      </c>
      <c r="BW97" s="207">
        <f>INDEX($A$87:$H$100,MATCH($L97,$B$87:$B$100,0),MATCH($BQ$86,$A$87:$H$87,0))*고양시_Modal_split!I$3 * 0.01</f>
        <v>8.1708513874756729E-3</v>
      </c>
      <c r="BX97" s="207">
        <f>INDEX($A$87:$H$100,MATCH($L97,$B$87:$B$100,0),MATCH($BQ$86,$A$87:$H$87,0))*고양시_Modal_split!J$3 * 0.01</f>
        <v>8.9467883537683271E-2</v>
      </c>
      <c r="BY97" s="207">
        <f>INDEX($A$87:$H$100,MATCH($L97,$B$87:$B$100,0),MATCH($BQ$86,$A$87:$H$87,0))*고양시_Modal_split!K$3 * 0.01</f>
        <v>4.4087327630264422E-4</v>
      </c>
      <c r="BZ97" s="207">
        <f>INDEX($A$87:$H$100,MATCH($L97,$B$87:$B$100,0),MATCH($BQ$86,$A$87:$H$87,0))*고양시_Modal_split!L$3 * 0.01</f>
        <v>8.876248629559904E-3</v>
      </c>
      <c r="CA97" s="207">
        <f>INDEX($A$87:$H$100,MATCH($L97,$B$87:$B$100,0),MATCH($BQ$86,$A$87:$H$87,0))*고양시_Modal_split!M$3 * 0.01</f>
        <v>6.7600569033072111E-4</v>
      </c>
      <c r="CB97" s="207">
        <f>INDEX($A$87:$H$100,MATCH($L97,$B$87:$B$100,0),MATCH($BQ$86,$A$87:$H$87,0))*고양시_Modal_split!N$3 * 0.01</f>
        <v>2.9391551753509617E-4</v>
      </c>
      <c r="CC97" s="207">
        <f>INDEX($A$87:$H$100,MATCH($L97,$B$87:$B$100,0),MATCH($BQ$86,$A$87:$H$87,0))*고양시_Modal_split!O$3 * 0.01</f>
        <v>5.2904793156317311E-4</v>
      </c>
      <c r="CD97" s="207">
        <f>INDEX($A$87:$H$100,MATCH($L97,$B$87:$B$100,0),MATCH($BQ$86,$A$87:$H$87,0))*고양시_Modal_split!P$3 * 0.01</f>
        <v>0.29391551753509615</v>
      </c>
      <c r="CE97" s="304">
        <f t="shared" si="69"/>
        <v>2.889908765930548</v>
      </c>
      <c r="CF97" s="304">
        <f t="shared" si="51"/>
        <v>485.40146164897749</v>
      </c>
      <c r="CG97" s="304">
        <f t="shared" si="52"/>
        <v>58.727074564802919</v>
      </c>
      <c r="CH97" s="304">
        <f t="shared" si="53"/>
        <v>94.644512084225468</v>
      </c>
      <c r="CI97" s="304">
        <f t="shared" si="54"/>
        <v>9.4954145166289443</v>
      </c>
      <c r="CJ97" s="304">
        <f t="shared" si="55"/>
        <v>0.10321102735466245</v>
      </c>
      <c r="CK97" s="304">
        <f t="shared" si="56"/>
        <v>28.692665604596158</v>
      </c>
      <c r="CL97" s="304">
        <f t="shared" si="57"/>
        <v>314.17436726759252</v>
      </c>
      <c r="CM97" s="304">
        <f t="shared" si="58"/>
        <v>1.5481654103199365</v>
      </c>
      <c r="CN97" s="304">
        <f t="shared" si="59"/>
        <v>31.169730261108057</v>
      </c>
      <c r="CO97" s="304">
        <f t="shared" si="60"/>
        <v>2.3738536291572361</v>
      </c>
      <c r="CP97" s="304">
        <f t="shared" si="61"/>
        <v>1.0321102735466245</v>
      </c>
      <c r="CQ97" s="304">
        <f t="shared" si="62"/>
        <v>1.8577984923839239</v>
      </c>
      <c r="CR97" s="304">
        <f t="shared" si="63"/>
        <v>1032.1102735466245</v>
      </c>
      <c r="CS97" s="305">
        <f t="shared" si="70"/>
        <v>0</v>
      </c>
      <c r="CV97" s="267" t="s">
        <v>169</v>
      </c>
      <c r="CW97" s="267" t="s">
        <v>169</v>
      </c>
      <c r="CX97" s="267">
        <f>INDEX($M$86:$Z$100,MATCH($CW97,$L$86:$L$100,0),MATCH(CX$87,$M$87:$Z$87,0))/INDEX(고양시_재차인원!$D$4:$H$35,MATCH("고양시",고양시_재차인원!$B$4:$B$35,0),MATCH($CX$86,고양시_재차인원!$D$4:$H$4,0))</f>
        <v>50.071520119954002</v>
      </c>
      <c r="CY97" s="267">
        <f>INDEX($M$86:$Z$100,MATCH($CW97,$L$86:$L$100,0),MATCH(CY$87,$M$87:$Z$87,0))/INDEX(고양시_재차인원!$K$4:$O$20,MATCH("경기도",고양시_재차인원!$K$4:$K$20,0),MATCH($CY$87,고양시_재차인원!$K$4:$O$4,0))</f>
        <v>4.1418289120804998E-4</v>
      </c>
      <c r="CZ97" s="267">
        <f>INDEX($M$86:$Z$100,MATCH($CW97,$L$86:$L$100,0),MATCH(CZ$87,$M$87:$Z$87,0))/INDEX(고양시_재차인원!$K$4:$O$20,MATCH("경기도",고양시_재차인원!$K$4:$K$20,0),MATCH($CZ$87,고양시_재차인원!$K$4:$O$4,0))</f>
        <v>0.11514284375583787</v>
      </c>
      <c r="DA97" s="267">
        <f>INDEX($M$86:$Z$100,MATCH($CW97,$L$86:$L$100,0),MATCH(DA$87,$M$87:$Z$87,0))/INDEX(고양시_재차인원!$D$4:$H$35,MATCH("고양시",고양시_재차인원!$B$4:$B$35,0),MATCH($CX$86,고양시_재차인원!$D$4:$H$4,0))</f>
        <v>3.2153091805711482</v>
      </c>
      <c r="DB97" s="267">
        <f>INDEX($AA$86:$AN$100,MATCH($CW97,$L$86:$L$100,0),MATCH(DB$87,$AA$87:$AN$87,0))/INDEX(고양시_재차인원!$D$4:$H$35,MATCH("고양시",고양시_재차인원!$B$4:$B$35,0),MATCH($DB$86,고양시_재차인원!$D$4:$H$4,0))</f>
        <v>287.84622340703186</v>
      </c>
      <c r="DC97" s="267">
        <f>INDEX($AA$86:$AN$100,MATCH($CW97,$L$86:$L$100,0),MATCH(DC$87,$AA$87:$AN$87,0))/INDEX(고양시_재차인원!$K$4:$O$20,MATCH("경기도",고양시_재차인원!$K$4:$K$20,0),MATCH(DC$87,고양시_재차인원!$K$4:$O$4,0))</f>
        <v>2.9975263179135539E-3</v>
      </c>
      <c r="DD97" s="267">
        <f>INDEX($AA$86:$AN$100,MATCH($CW97,$L$86:$L$100,0),MATCH(DD$87,$AA$87:$AN$87,0))/INDEX(고양시_재차인원!$K$4:$O$20,MATCH("경기도",고양시_재차인원!$K$4:$K$20,0),MATCH(DD$87,고양시_재차인원!$K$4:$O$4,0))</f>
        <v>0.83331231637996783</v>
      </c>
      <c r="DE97" s="267">
        <f>INDEX($AA$86:$AN$100,MATCH($CW97,$L$86:$L$100,0),MATCH(DE$87,$AA$87:$AN$87,0))/INDEX(고양시_재차인원!$D$4:$H$35,MATCH("고양시",고양시_재차인원!$B$4:$B$35,0),MATCH($DB$86,고양시_재차인원!$D$4:$H$4,0))</f>
        <v>18.483852746953779</v>
      </c>
      <c r="DF97" s="267">
        <f>INDEX($AO$86:$BB$100,MATCH($CW97,$L$86:$L$100,0),MATCH(DF$87,$AO$87:$BB$87,0))/INDEX(고양시_재차인원!$D$4:$H$35,MATCH("고양시",고양시_재차인원!$B$4:$B$35,0),MATCH($DF$86,고양시_재차인원!$D$4:$H$4,0))</f>
        <v>17.910281349428036</v>
      </c>
      <c r="DG97" s="267">
        <f>INDEX($AO$86:$BB$100,MATCH($CW97,$L$86:$L$100,0),MATCH(DG$87,$AO$87:$BB$87,0))/INDEX(고양시_재차인원!$K$4:$O$20,MATCH("경기도",고양시_재차인원!$K$4:$K$20,0),MATCH(DG$87,고양시_재차인원!$K$4:$O$4,0))</f>
        <v>1.719606653580179E-4</v>
      </c>
      <c r="DH97" s="267">
        <f>INDEX($AO$86:$BB$100,MATCH($CW97,$L$86:$L$100,0),MATCH(DH$87,$AO$87:$BB$87,0))/INDEX(고양시_재차인원!$K$4:$O$20,MATCH("경기도",고양시_재차인원!$K$4:$K$20,0),MATCH(DH$87,고양시_재차인원!$K$4:$O$4,0))</f>
        <v>4.7805064969528972E-2</v>
      </c>
      <c r="DI97" s="267">
        <f>INDEX($AO$86:$BB$100,MATCH($CW97,$L$86:$L$100,0),MATCH(DI$87,$AO$87:$BB$87,0))/INDEX(고양시_재차인원!$D$4:$H$35,MATCH("고양시",고양시_재차인원!$B$4:$B$35,0),MATCH($DF$86,고양시_재차인원!$D$4:$H$4,0))</f>
        <v>1.150096739852704</v>
      </c>
      <c r="DJ97" s="267">
        <f>INDEX($BC$86:$BP$100,MATCH($CW97,$L$86:$L$100,0),MATCH(DJ$87,$BC$87:$BP$87,0))/INDEX(고양시_재차인원!$D$4:$H$35,MATCH("고양시",고양시_재차인원!$B$4:$B$35,0),MATCH($DJ$86,고양시_재차인원!$D$4:$H$4,0))</f>
        <v>2.6904329824195553E-2</v>
      </c>
      <c r="DK97" s="267">
        <f>INDEX($BC$86:$BP$100,MATCH($CW97,$L$86:$L$100,0),MATCH(DK$87,$BC$87:$BP$87,0))/INDEX(고양시_재차인원!$K$4:$O$20,MATCH("경기도",고양시_재차인원!$K$4:$K$20,0),MATCH(DK$87,고양시_재차인원!$K$4:$O$4,0))</f>
        <v>2.7023677112312969E-7</v>
      </c>
      <c r="DL97" s="267">
        <f>INDEX($BC$86:$BP$100,MATCH($CW97,$L$86:$L$100,0),MATCH(DL$87,$BC$87:$BP$87,0))/INDEX(고양시_재차인원!$K$4:$O$20,MATCH("경기도",고양시_재차인원!$K$4:$K$20,0),MATCH(DL$87,고양시_재차인원!$K$4:$O$4,0))</f>
        <v>7.5125822372230057E-5</v>
      </c>
      <c r="DM97" s="267">
        <f>INDEX($BC$86:$BP$100,MATCH($CW97,$L$86:$L$100,0),MATCH(DM$87,$BC$87:$BP$87,0))/INDEX(고양시_재차인원!$D$4:$H$35,MATCH("고양시",고양시_재차인원!$B$4:$B$35,0),MATCH($DJ$86,고양시_재차인원!$D$4:$H$4,0))</f>
        <v>1.727643548140986E-3</v>
      </c>
      <c r="DN97" s="267">
        <f>INDEX($BQ$86:$CD$100,MATCH($CW97,$L$86:$L$100,0),MATCH(DN$87,$BQ$87:$CD$87,0))/INDEX(고양시_재차인원!$D$4:$H$35,MATCH("고양시",고양시_재차인원!$B$4:$B$35,0),MATCH($DN$86,고양시_재차인원!$D$4:$H$4,0))</f>
        <v>0.10970513325139343</v>
      </c>
      <c r="DO97" s="267">
        <f>INDEX($BQ$86:$CD$100,MATCH($CW97,$L$86:$L$100,0),MATCH(DO$87,$BQ$87:$CD$87,0))/INDEX(고양시_재차인원!$K$4:$O$20,MATCH("경기도",고양시_재차인원!$K$4:$K$20,0),MATCH(DO$87,고양시_재차인원!$K$4:$O$4,0))</f>
        <v>1.0208944686873781E-6</v>
      </c>
      <c r="DP97" s="267">
        <f>INDEX($BQ$86:$CD$100,MATCH($CW97,$L$86:$L$100,0),MATCH(DP$87,$BQ$87:$CD$87,0))/INDEX(고양시_재차인원!$K$4:$O$20,MATCH("경기도",고양시_재차인원!$K$4:$K$20,0),MATCH(DP$87,고양시_재차인원!$K$4:$O$4,0))</f>
        <v>2.8380866229509109E-4</v>
      </c>
      <c r="DQ97" s="267">
        <f>INDEX($BQ$86:$CD$100,MATCH($CW97,$L$86:$L$100,0),MATCH(DQ$87,$BQ$87:$CD$87,0))/INDEX(고양시_재차인원!$D$4:$H$35,MATCH("고양시",고양시_재차인원!$B$4:$B$35,0),MATCH($DN$86,고양시_재차인원!$D$4:$H$4,0))</f>
        <v>7.0446417694919874E-3</v>
      </c>
      <c r="DR97" s="270">
        <f t="shared" si="71"/>
        <v>355.96463433948952</v>
      </c>
      <c r="DS97" s="270">
        <f t="shared" si="64"/>
        <v>3.5849610057194325E-3</v>
      </c>
      <c r="DT97" s="270">
        <f t="shared" si="65"/>
        <v>0.99661915959000191</v>
      </c>
      <c r="DU97" s="270">
        <f t="shared" si="66"/>
        <v>22.858030952695263</v>
      </c>
      <c r="DW97" s="278" t="s">
        <v>169</v>
      </c>
      <c r="DX97" s="278" t="s">
        <v>169</v>
      </c>
      <c r="DY97" s="281">
        <f t="shared" si="72"/>
        <v>378.82266529218481</v>
      </c>
      <c r="DZ97" s="281">
        <f t="shared" si="73"/>
        <v>1.0002041205957213</v>
      </c>
      <c r="EB97" s="278" t="s">
        <v>170</v>
      </c>
      <c r="EC97" s="278" t="s">
        <v>170</v>
      </c>
      <c r="ED97" s="281">
        <f t="shared" si="81"/>
        <v>313.30834347075387</v>
      </c>
      <c r="EE97" s="281">
        <f t="shared" si="80"/>
        <v>0.82722689233698443</v>
      </c>
      <c r="EK97" s="420" t="s">
        <v>47</v>
      </c>
      <c r="EL97" s="420" t="s">
        <v>47</v>
      </c>
      <c r="EM97" s="420" t="s">
        <v>570</v>
      </c>
      <c r="EN97" s="420">
        <v>4861.8494000000001</v>
      </c>
      <c r="EO97" s="420">
        <v>0.50932407249705824</v>
      </c>
      <c r="EP97" s="421">
        <v>849010</v>
      </c>
      <c r="EQ97" s="422">
        <f t="shared" si="75"/>
        <v>116.83332356997383</v>
      </c>
      <c r="ER97" s="422">
        <f t="shared" si="76"/>
        <v>0.30847460398772464</v>
      </c>
      <c r="ES97">
        <v>0</v>
      </c>
      <c r="EU97" s="306" t="s">
        <v>47</v>
      </c>
      <c r="EV97" s="306" t="s">
        <v>47</v>
      </c>
      <c r="EW97" s="306" t="s">
        <v>570</v>
      </c>
      <c r="EX97" s="306">
        <v>4861.8494000000001</v>
      </c>
      <c r="EY97" s="306">
        <v>0.50932407249705824</v>
      </c>
      <c r="EZ97" s="307">
        <v>849010</v>
      </c>
      <c r="FA97" s="308">
        <f t="shared" si="77"/>
        <v>116.83332356997383</v>
      </c>
      <c r="FB97" s="308">
        <f t="shared" si="68"/>
        <v>0.30847460398772464</v>
      </c>
      <c r="FD97" s="101"/>
      <c r="FE97" s="101"/>
      <c r="FF97" s="101"/>
      <c r="FG97" s="101"/>
      <c r="FH97" s="101"/>
      <c r="FI97" s="374"/>
      <c r="FJ97" s="404"/>
      <c r="FK97" s="404"/>
    </row>
    <row r="98" spans="1:167" ht="25">
      <c r="A98" s="205" t="s">
        <v>170</v>
      </c>
      <c r="B98" s="205" t="s">
        <v>170</v>
      </c>
      <c r="C98" s="201">
        <f>$K39*KTDB_TripDistribution_2045!T$12</f>
        <v>98.621096155023366</v>
      </c>
      <c r="D98" s="201">
        <f>$K39*KTDB_TripDistribution_2045!U$12</f>
        <v>713.74104894562618</v>
      </c>
      <c r="E98" s="201">
        <f>$K39*KTDB_TripDistribution_2045!V$12</f>
        <v>40.94555732056098</v>
      </c>
      <c r="F98" s="201">
        <f>$K39*KTDB_TripDistribution_2045!W$12</f>
        <v>6.4346082745774302E-2</v>
      </c>
      <c r="G98" s="201">
        <f>$K39*KTDB_TripDistribution_2045!X$12</f>
        <v>0.24308520148403609</v>
      </c>
      <c r="H98" s="201">
        <f>$K39*KTDB_TripDistribution_2045!Y$12</f>
        <v>853.61513370544037</v>
      </c>
      <c r="I98" s="56"/>
      <c r="J98" s="56"/>
      <c r="K98" s="206" t="s">
        <v>170</v>
      </c>
      <c r="L98" s="206" t="s">
        <v>170</v>
      </c>
      <c r="M98" s="206">
        <f>INDEX($A$87:$H$100,MATCH($L98,$B$87:$B$100,0),MATCH($M$86,$A$87:$H$87,0))*고양시_Modal_split!C$3 * 0.01</f>
        <v>0.27613906923406539</v>
      </c>
      <c r="N98" s="206">
        <f>INDEX($A$87:$H$100,MATCH($L98,$B$87:$B$100,0),MATCH($M$86,$A$87:$H$87,0))*고양시_Modal_split!D$3 * 0.01</f>
        <v>46.381501521707484</v>
      </c>
      <c r="O98" s="206">
        <f>INDEX($A$87:$H$100,MATCH($L98,$B$87:$B$100,0),MATCH($M$86,$A$87:$H$87,0))*고양시_Modal_split!E$3 * 0.01</f>
        <v>5.6115403712208289</v>
      </c>
      <c r="P98" s="206">
        <f>INDEX($A$87:$H$100,MATCH($L98,$B$87:$B$100,0),MATCH($M$86,$A$87:$H$87,0))*고양시_Modal_split!F$3 * 0.01</f>
        <v>9.0435545174156431</v>
      </c>
      <c r="Q98" s="206">
        <f>INDEX($A$87:$H$100,MATCH($L98,$B$87:$B$100,0),MATCH($M$86,$A$87:$H$87,0))*고양시_Modal_split!G$3 * 0.01</f>
        <v>0.90731408462621488</v>
      </c>
      <c r="R98" s="206">
        <f>INDEX($A$87:$H$100,MATCH($L98,$B$87:$B$100,0),MATCH($M$86,$A$87:$H$87,0))*고양시_Modal_split!H$3 * 0.01</f>
        <v>9.8621096155023374E-3</v>
      </c>
      <c r="S98" s="206">
        <f>INDEX($A$87:$H$100,MATCH($L98,$B$87:$B$100,0),MATCH($M$86,$A$87:$H$87,0))*고양시_Modal_split!I$3 * 0.01</f>
        <v>2.7416664731096496</v>
      </c>
      <c r="T98" s="206">
        <f>INDEX($A$87:$H$100,MATCH($L98,$B$87:$B$100,0),MATCH($M$86,$A$87:$H$87,0))*고양시_Modal_split!J$3 * 0.01</f>
        <v>30.020261669589114</v>
      </c>
      <c r="U98" s="206">
        <f>INDEX($A$87:$H$100,MATCH($L98,$B$87:$B$100,0),MATCH($M$86,$A$87:$H$87,0))*고양시_Modal_split!K$3 * 0.01</f>
        <v>0.14793164423253505</v>
      </c>
      <c r="V98" s="206">
        <f>INDEX($A$87:$H$100,MATCH($L98,$B$87:$B$100,0),MATCH($M$86,$A$87:$H$87,0))*고양시_Modal_split!L$3 * 0.01</f>
        <v>2.9783571038817058</v>
      </c>
      <c r="W98" s="206">
        <f>INDEX($A$87:$H$100,MATCH($L98,$B$87:$B$100,0),MATCH($M$86,$A$87:$H$87,0))*고양시_Modal_split!M$3 * 0.01</f>
        <v>0.22682852115655372</v>
      </c>
      <c r="X98" s="206">
        <f>INDEX($A$87:$H$100,MATCH($L98,$B$87:$B$100,0),MATCH($M$86,$A$87:$H$87,0))*고양시_Modal_split!N$3 * 0.01</f>
        <v>9.8621096155023374E-2</v>
      </c>
      <c r="Y98" s="206">
        <f>INDEX($A$87:$H$100,MATCH($L98,$B$87:$B$100,0),MATCH($M$86,$A$87:$H$87,0))*고양시_Modal_split!O$3 * 0.01</f>
        <v>0.17751797307904205</v>
      </c>
      <c r="Z98" s="209">
        <f>INDEX($A$87:$H$100,MATCH($L98,$B$87:$B$100,0),MATCH($M$86,$A$87:$H$87,0))*고양시_Modal_split!P$3 * 0.01</f>
        <v>98.621096155023366</v>
      </c>
      <c r="AA98" s="207">
        <f>INDEX($A$87:$H$100,MATCH($L98,$B$87:$B$100,0),MATCH($AA$86,$A$87:$H$87,0))*고양시_Modal_split!C$3 * 0.01</f>
        <v>1.998474937047753</v>
      </c>
      <c r="AB98" s="207">
        <f>INDEX($A$87:$H$100,MATCH($L98,$B$87:$B$100,0),MATCH($AA$86,$A$87:$H$87,0))*고양시_Modal_split!D$3 * 0.01</f>
        <v>335.67241531912799</v>
      </c>
      <c r="AC98" s="207">
        <f>INDEX($A$87:$H$100,MATCH($L98,$B$87:$B$100,0),MATCH($AA$86,$A$87:$H$87,0))*고양시_Modal_split!E$3 * 0.01</f>
        <v>40.61186568500613</v>
      </c>
      <c r="AD98" s="207">
        <f>INDEX($A$87:$H$100,MATCH($L98,$B$87:$B$100,0),MATCH($AA$86,$A$87:$H$87,0))*고양시_Modal_split!F$3 * 0.01</f>
        <v>65.450054188313914</v>
      </c>
      <c r="AE98" s="207">
        <f>INDEX($A$87:$H$100,MATCH($L98,$B$87:$B$100,0),MATCH($AA$86,$A$87:$H$87,0))*고양시_Modal_split!G$3 * 0.01</f>
        <v>6.5664176502997602</v>
      </c>
      <c r="AF98" s="207">
        <f>INDEX($A$87:$H$100,MATCH($L98,$B$87:$B$100,0),MATCH($AA$86,$A$87:$H$87,0))*고양시_Modal_split!H$3 * 0.01</f>
        <v>7.1374104894562626E-2</v>
      </c>
      <c r="AG98" s="207">
        <f>INDEX($A$87:$H$100,MATCH($L98,$B$87:$B$100,0),MATCH($AA$86,$A$87:$H$87,0))*고양시_Modal_split!I$3 * 0.01</f>
        <v>19.842001160688405</v>
      </c>
      <c r="AH98" s="207">
        <f>INDEX($A$87:$H$100,MATCH($L98,$B$87:$B$100,0),MATCH($AA$86,$A$87:$H$87,0))*고양시_Modal_split!J$3 * 0.01</f>
        <v>217.26277529904863</v>
      </c>
      <c r="AI98" s="207">
        <f>INDEX($A$87:$H$100,MATCH($L98,$B$87:$B$100,0),MATCH($AA$86,$A$87:$H$87,0))*고양시_Modal_split!K$3 * 0.01</f>
        <v>1.0706115734184392</v>
      </c>
      <c r="AJ98" s="207">
        <f>INDEX($A$87:$H$100,MATCH($L98,$B$87:$B$100,0),MATCH($AA$86,$A$87:$H$87,0))*고양시_Modal_split!L$3 * 0.01</f>
        <v>21.55497967815791</v>
      </c>
      <c r="AK98" s="207">
        <f>INDEX($A$87:$H$100,MATCH($L98,$B$87:$B$100,0),MATCH($AA$86,$A$87:$H$87,0))*고양시_Modal_split!M$3 * 0.01</f>
        <v>1.6416044125749401</v>
      </c>
      <c r="AL98" s="207">
        <f>INDEX($A$87:$H$100,MATCH($L98,$B$87:$B$100,0),MATCH($AA$86,$A$87:$H$87,0))*고양시_Modal_split!N$3 * 0.01</f>
        <v>0.71374104894562618</v>
      </c>
      <c r="AM98" s="207">
        <f>INDEX($A$87:$H$100,MATCH($L98,$B$87:$B$100,0),MATCH($AA$86,$A$87:$H$87,0))*고양시_Modal_split!O$3 * 0.01</f>
        <v>1.2847338881021271</v>
      </c>
      <c r="AN98" s="207">
        <f>INDEX($A$87:$H$100,MATCH($L98,$B$87:$B$100,0),MATCH($AA$86,$A$87:$H$87,0))*고양시_Modal_split!P$3 * 0.01</f>
        <v>713.74104894562629</v>
      </c>
      <c r="AO98" s="303">
        <f>INDEX($A$87:$H$100,MATCH($L98,$B$87:$B$100,0),MATCH($AO$86,$A$87:$H$87,0))*고양시_Modal_split!C$3 * 0.01</f>
        <v>0.11464756049757073</v>
      </c>
      <c r="AP98" s="303">
        <f>INDEX($A$87:$H$100,MATCH($L98,$B$87:$B$100,0),MATCH($AO$86,$A$87:$H$87,0))*고양시_Modal_split!D$3 * 0.01</f>
        <v>19.256695607859829</v>
      </c>
      <c r="AQ98" s="303">
        <f>INDEX($A$87:$H$100,MATCH($L98,$B$87:$B$100,0),MATCH($AO$86,$A$87:$H$87,0))*고양시_Modal_split!E$3 * 0.01</f>
        <v>2.3298022115399197</v>
      </c>
      <c r="AR98" s="303">
        <f>INDEX($A$87:$H$100,MATCH($L98,$B$87:$B$100,0),MATCH($AO$86,$A$87:$H$87,0))*고양시_Modal_split!F$3 * 0.01</f>
        <v>3.7547076062954421</v>
      </c>
      <c r="AS98" s="303">
        <f>INDEX($A$87:$H$100,MATCH($L98,$B$87:$B$100,0),MATCH($AO$86,$A$87:$H$87,0))*고양시_Modal_split!G$3 * 0.01</f>
        <v>0.37669912734916094</v>
      </c>
      <c r="AT98" s="303">
        <f>INDEX($A$87:$H$100,MATCH($L98,$B$87:$B$100,0),MATCH($AO$86,$A$87:$H$87,0))*고양시_Modal_split!H$3 * 0.01</f>
        <v>4.0945557320560986E-3</v>
      </c>
      <c r="AU98" s="303">
        <f>INDEX($A$87:$H$100,MATCH($L98,$B$87:$B$100,0),MATCH($AO$86,$A$87:$H$87,0))*고양시_Modal_split!I$3 * 0.01</f>
        <v>1.1382864935115951</v>
      </c>
      <c r="AV98" s="303">
        <f>INDEX($A$87:$H$100,MATCH($L98,$B$87:$B$100,0),MATCH($AO$86,$A$87:$H$87,0))*고양시_Modal_split!J$3 * 0.01</f>
        <v>12.463827648378762</v>
      </c>
      <c r="AW98" s="303">
        <f>INDEX($A$87:$H$100,MATCH($L98,$B$87:$B$100,0),MATCH($AO$86,$A$87:$H$87,0))*고양시_Modal_split!K$3 * 0.01</f>
        <v>6.1418335980841468E-2</v>
      </c>
      <c r="AX98" s="303">
        <f>INDEX($A$87:$H$100,MATCH($L98,$B$87:$B$100,0),MATCH($AO$86,$A$87:$H$87,0))*고양시_Modal_split!L$3 * 0.01</f>
        <v>1.2365558310809417</v>
      </c>
      <c r="AY98" s="303">
        <f>INDEX($A$87:$H$100,MATCH($L98,$B$87:$B$100,0),MATCH($AO$86,$A$87:$H$87,0))*고양시_Modal_split!M$3 * 0.01</f>
        <v>9.4174781837290236E-2</v>
      </c>
      <c r="AZ98" s="303">
        <f>INDEX($A$87:$H$100,MATCH($L98,$B$87:$B$100,0),MATCH($AO$86,$A$87:$H$87,0))*고양시_Modal_split!N$3 * 0.01</f>
        <v>4.0945557320560981E-2</v>
      </c>
      <c r="BA98" s="207">
        <f>INDEX($A$87:$H$100,MATCH($L98,$B$87:$B$100,0),MATCH($AO$86,$A$87:$H$87,0))*고양시_Modal_split!O$3 * 0.01</f>
        <v>7.370200317700977E-2</v>
      </c>
      <c r="BB98" s="207">
        <f>INDEX($A$87:$H$100,MATCH($L98,$B$87:$B$100,0),MATCH($AO$86,$A$87:$H$87,0))*고양시_Modal_split!P$3 * 0.01</f>
        <v>40.94555732056098</v>
      </c>
      <c r="BC98" s="207">
        <f>INDEX($A$87:$H$100,MATCH($L98,$B$87:$B$100,0),MATCH($BC$86,$A$87:$H$87,0))*고양시_Modal_split!C$3 * 0.01</f>
        <v>1.8016903168816803E-4</v>
      </c>
      <c r="BD98" s="207">
        <f>INDEX($A$87:$H$100,MATCH($L98,$B$87:$B$100,0),MATCH($BC$86,$A$87:$H$87,0))*고양시_Modal_split!D$3 * 0.01</f>
        <v>3.0261962715337654E-2</v>
      </c>
      <c r="BE98" s="207">
        <f>INDEX($A$87:$H$100,MATCH($L98,$B$87:$B$100,0),MATCH($BC$86,$A$87:$H$87,0))*고양시_Modal_split!E$3 * 0.01</f>
        <v>3.6612921082345572E-3</v>
      </c>
      <c r="BF98" s="207">
        <f>INDEX($A$87:$H$100,MATCH($L98,$B$87:$B$100,0),MATCH($BC$86,$A$87:$H$87,0))*고양시_Modal_split!F$3 * 0.01</f>
        <v>5.9005357877875029E-3</v>
      </c>
      <c r="BG98" s="207">
        <f>INDEX($A$87:$H$100,MATCH($L98,$B$87:$B$100,0),MATCH($BC$86,$A$87:$H$87,0))*고양시_Modal_split!G$3 * 0.01</f>
        <v>5.9198396126112357E-4</v>
      </c>
      <c r="BH98" s="207">
        <f>INDEX($A$87:$H$100,MATCH($L98,$B$87:$B$100,0),MATCH($BC$86,$A$87:$H$87,0))*고양시_Modal_split!H$3 * 0.01</f>
        <v>6.4346082745774303E-6</v>
      </c>
      <c r="BI98" s="207">
        <f>INDEX($A$87:$H$100,MATCH($L98,$B$87:$B$100,0),MATCH($BC$86,$A$87:$H$87,0))*고양시_Modal_split!I$3 * 0.01</f>
        <v>1.7888211003325256E-3</v>
      </c>
      <c r="BJ98" s="207">
        <f>INDEX($A$87:$H$100,MATCH($L98,$B$87:$B$100,0),MATCH($BC$86,$A$87:$H$87,0))*고양시_Modal_split!J$3 * 0.01</f>
        <v>1.9586947587813701E-2</v>
      </c>
      <c r="BK98" s="207">
        <f>INDEX($A$87:$H$100,MATCH($L98,$B$87:$B$100,0),MATCH($BC$86,$A$87:$H$87,0))*고양시_Modal_split!K$3 * 0.01</f>
        <v>9.6519124118661463E-5</v>
      </c>
      <c r="BL98" s="207">
        <f>INDEX($A$87:$H$100,MATCH($L98,$B$87:$B$100,0),MATCH($BC$86,$A$87:$H$87,0))*고양시_Modal_split!L$3 * 0.01</f>
        <v>1.943251698922384E-3</v>
      </c>
      <c r="BM98" s="207">
        <f>INDEX($A$87:$H$100,MATCH($L98,$B$87:$B$100,0),MATCH($BC$86,$A$87:$H$87,0))*고양시_Modal_split!M$3 * 0.01</f>
        <v>1.4799599031528089E-4</v>
      </c>
      <c r="BN98" s="207">
        <f>INDEX($A$87:$H$100,MATCH($L98,$B$87:$B$100,0),MATCH($BC$86,$A$87:$H$87,0))*고양시_Modal_split!N$3 * 0.01</f>
        <v>6.4346082745774313E-5</v>
      </c>
      <c r="BO98" s="207">
        <f>INDEX($A$87:$H$100,MATCH($L98,$B$87:$B$100,0),MATCH($BC$86,$A$87:$H$87,0))*고양시_Modal_split!O$3 * 0.01</f>
        <v>1.1582294894239374E-4</v>
      </c>
      <c r="BP98" s="207">
        <f>INDEX($A$87:$H$100,MATCH($L98,$B$87:$B$100,0),MATCH($BC$86,$A$87:$H$87,0))*고양시_Modal_split!P$3 * 0.01</f>
        <v>6.4346082745774302E-2</v>
      </c>
      <c r="BQ98" s="207">
        <f>INDEX($A$87:$H$100,MATCH($L98,$B$87:$B$100,0),MATCH($BQ$86,$A$87:$H$87,0))*고양시_Modal_split!C$3 * 0.01</f>
        <v>6.8063856415530105E-4</v>
      </c>
      <c r="BR98" s="207">
        <f>INDEX($A$87:$H$100,MATCH($L98,$B$87:$B$100,0),MATCH($BQ$86,$A$87:$H$87,0))*고양시_Modal_split!D$3 * 0.01</f>
        <v>0.11432297025794216</v>
      </c>
      <c r="BS98" s="207">
        <f>INDEX($A$87:$H$100,MATCH($L98,$B$87:$B$100,0),MATCH($BQ$86,$A$87:$H$87,0))*고양시_Modal_split!E$3 * 0.01</f>
        <v>1.3831547964441653E-2</v>
      </c>
      <c r="BT98" s="207">
        <f>INDEX($A$87:$H$100,MATCH($L98,$B$87:$B$100,0),MATCH($BQ$86,$A$87:$H$87,0))*고양시_Modal_split!F$3 * 0.01</f>
        <v>2.2290912976086111E-2</v>
      </c>
      <c r="BU98" s="207">
        <f>INDEX($A$87:$H$100,MATCH($L98,$B$87:$B$100,0),MATCH($BQ$86,$A$87:$H$87,0))*고양시_Modal_split!G$3 * 0.01</f>
        <v>2.2363838536531319E-3</v>
      </c>
      <c r="BV98" s="207">
        <f>INDEX($A$87:$H$100,MATCH($L98,$B$87:$B$100,0),MATCH($BQ$86,$A$87:$H$87,0))*고양시_Modal_split!H$3 * 0.01</f>
        <v>2.4308520148403609E-5</v>
      </c>
      <c r="BW98" s="207">
        <f>INDEX($A$87:$H$100,MATCH($L98,$B$87:$B$100,0),MATCH($BQ$86,$A$87:$H$87,0))*고양시_Modal_split!I$3 * 0.01</f>
        <v>6.7577686012562036E-3</v>
      </c>
      <c r="BX98" s="207">
        <f>INDEX($A$87:$H$100,MATCH($L98,$B$87:$B$100,0),MATCH($BQ$86,$A$87:$H$87,0))*고양시_Modal_split!J$3 * 0.01</f>
        <v>7.3995135331740583E-2</v>
      </c>
      <c r="BY98" s="207">
        <f>INDEX($A$87:$H$100,MATCH($L98,$B$87:$B$100,0),MATCH($BQ$86,$A$87:$H$87,0))*고양시_Modal_split!K$3 * 0.01</f>
        <v>3.6462780222605416E-4</v>
      </c>
      <c r="BZ98" s="207">
        <f>INDEX($A$87:$H$100,MATCH($L98,$B$87:$B$100,0),MATCH($BQ$86,$A$87:$H$87,0))*고양시_Modal_split!L$3 * 0.01</f>
        <v>7.34117308481789E-3</v>
      </c>
      <c r="CA98" s="207">
        <f>INDEX($A$87:$H$100,MATCH($L98,$B$87:$B$100,0),MATCH($BQ$86,$A$87:$H$87,0))*고양시_Modal_split!M$3 * 0.01</f>
        <v>5.5909596341328297E-4</v>
      </c>
      <c r="CB98" s="207">
        <f>INDEX($A$87:$H$100,MATCH($L98,$B$87:$B$100,0),MATCH($BQ$86,$A$87:$H$87,0))*고양시_Modal_split!N$3 * 0.01</f>
        <v>2.4308520148403609E-4</v>
      </c>
      <c r="CC98" s="207">
        <f>INDEX($A$87:$H$100,MATCH($L98,$B$87:$B$100,0),MATCH($BQ$86,$A$87:$H$87,0))*고양시_Modal_split!O$3 * 0.01</f>
        <v>4.3755336267126496E-4</v>
      </c>
      <c r="CD98" s="207">
        <f>INDEX($A$87:$H$100,MATCH($L98,$B$87:$B$100,0),MATCH($BQ$86,$A$87:$H$87,0))*고양시_Modal_split!P$3 * 0.01</f>
        <v>0.24308520148403609</v>
      </c>
      <c r="CE98" s="304">
        <f t="shared" si="69"/>
        <v>2.3901223743752325</v>
      </c>
      <c r="CF98" s="304">
        <f t="shared" si="51"/>
        <v>401.4551973816686</v>
      </c>
      <c r="CG98" s="304">
        <f t="shared" si="52"/>
        <v>48.570701107839554</v>
      </c>
      <c r="CH98" s="304">
        <f t="shared" si="53"/>
        <v>78.276507760788874</v>
      </c>
      <c r="CI98" s="304">
        <f t="shared" si="54"/>
        <v>7.8532592300900497</v>
      </c>
      <c r="CJ98" s="304">
        <f t="shared" si="55"/>
        <v>8.536151337054404E-2</v>
      </c>
      <c r="CK98" s="304">
        <f t="shared" si="56"/>
        <v>23.730500717011243</v>
      </c>
      <c r="CL98" s="304">
        <f t="shared" si="57"/>
        <v>259.84044669993608</v>
      </c>
      <c r="CM98" s="304">
        <f t="shared" si="58"/>
        <v>1.2804227005581605</v>
      </c>
      <c r="CN98" s="304">
        <f t="shared" si="59"/>
        <v>25.779177037904297</v>
      </c>
      <c r="CO98" s="304">
        <f t="shared" si="60"/>
        <v>1.9633148075225124</v>
      </c>
      <c r="CP98" s="304">
        <f t="shared" si="61"/>
        <v>0.85361513370544029</v>
      </c>
      <c r="CQ98" s="304">
        <f t="shared" si="62"/>
        <v>1.5365072406697926</v>
      </c>
      <c r="CR98" s="304">
        <f t="shared" si="63"/>
        <v>853.61513370544048</v>
      </c>
      <c r="CS98" s="305">
        <f t="shared" si="70"/>
        <v>0</v>
      </c>
      <c r="CV98" s="267" t="s">
        <v>170</v>
      </c>
      <c r="CW98" s="267" t="s">
        <v>170</v>
      </c>
      <c r="CX98" s="267">
        <f>INDEX($M$86:$Z$100,MATCH($CW98,$L$86:$L$100,0),MATCH(CX$87,$M$87:$Z$87,0))/INDEX(고양시_재차인원!$D$4:$H$35,MATCH("고양시",고양시_재차인원!$B$4:$B$35,0),MATCH($CX$86,고양시_재차인원!$D$4:$H$4,0))</f>
        <v>41.412054930095962</v>
      </c>
      <c r="CY98" s="267">
        <f>INDEX($M$86:$Z$100,MATCH($CW98,$L$86:$L$100,0),MATCH(CY$87,$M$87:$Z$87,0))/INDEX(고양시_재차인원!$K$4:$O$20,MATCH("경기도",고양시_재차인원!$K$4:$K$20,0),MATCH($CY$87,고양시_재차인원!$K$4:$O$4,0))</f>
        <v>3.4255330376875087E-4</v>
      </c>
      <c r="CZ98" s="267">
        <f>INDEX($M$86:$Z$100,MATCH($CW98,$L$86:$L$100,0),MATCH(CZ$87,$M$87:$Z$87,0))/INDEX(고양시_재차인원!$K$4:$O$20,MATCH("경기도",고양시_재차인원!$K$4:$K$20,0),MATCH($CZ$87,고양시_재차인원!$K$4:$O$4,0))</f>
        <v>9.5229818447712736E-2</v>
      </c>
      <c r="DA98" s="267">
        <f>INDEX($M$86:$Z$100,MATCH($CW98,$L$86:$L$100,0),MATCH(DA$87,$M$87:$Z$87,0))/INDEX(고양시_재차인원!$D$4:$H$35,MATCH("고양시",고양시_재차인원!$B$4:$B$35,0),MATCH($CX$86,고양시_재차인원!$D$4:$H$4,0))</f>
        <v>2.6592474141800944</v>
      </c>
      <c r="DB98" s="267">
        <f>INDEX($AA$86:$AN$100,MATCH($CW98,$L$86:$L$100,0),MATCH(DB$87,$AA$87:$AN$87,0))/INDEX(고양시_재차인원!$D$4:$H$35,MATCH("고양시",고양시_재차인원!$B$4:$B$35,0),MATCH($DB$86,고양시_재차인원!$D$4:$H$4,0))</f>
        <v>238.06554277952341</v>
      </c>
      <c r="DC98" s="267">
        <f>INDEX($AA$86:$AN$100,MATCH($CW98,$L$86:$L$100,0),MATCH(DC$87,$AA$87:$AN$87,0))/INDEX(고양시_재차인원!$K$4:$O$20,MATCH("경기도",고양시_재차인원!$K$4:$K$20,0),MATCH(DC$87,고양시_재차인원!$K$4:$O$4,0))</f>
        <v>2.4791283395124218E-3</v>
      </c>
      <c r="DD98" s="267">
        <f>INDEX($AA$86:$AN$100,MATCH($CW98,$L$86:$L$100,0),MATCH(DD$87,$AA$87:$AN$87,0))/INDEX(고양시_재차인원!$K$4:$O$20,MATCH("경기도",고양시_재차인원!$K$4:$K$20,0),MATCH(DD$87,고양시_재차인원!$K$4:$O$4,0))</f>
        <v>0.68919767838445312</v>
      </c>
      <c r="DE98" s="267">
        <f>INDEX($AA$86:$AN$100,MATCH($CW98,$L$86:$L$100,0),MATCH(DE$87,$AA$87:$AN$87,0))/INDEX(고양시_재차인원!$D$4:$H$35,MATCH("고양시",고양시_재차인원!$B$4:$B$35,0),MATCH($DB$86,고양시_재차인원!$D$4:$H$4,0))</f>
        <v>15.287219629899228</v>
      </c>
      <c r="DF98" s="267">
        <f>INDEX($AO$86:$BB$100,MATCH($CW98,$L$86:$L$100,0),MATCH(DF$87,$AO$87:$BB$87,0))/INDEX(고양시_재차인원!$D$4:$H$35,MATCH("고양시",고양시_재차인원!$B$4:$B$35,0),MATCH($DF$86,고양시_재차인원!$D$4:$H$4,0))</f>
        <v>14.81284277527679</v>
      </c>
      <c r="DG98" s="267">
        <f>INDEX($AO$86:$BB$100,MATCH($CW98,$L$86:$L$100,0),MATCH(DG$87,$AO$87:$BB$87,0))/INDEX(고양시_재차인원!$K$4:$O$20,MATCH("경기도",고양시_재차인원!$K$4:$K$20,0),MATCH(DG$87,고양시_재차인원!$K$4:$O$4,0))</f>
        <v>1.4222145647989229E-4</v>
      </c>
      <c r="DH98" s="267">
        <f>INDEX($AO$86:$BB$100,MATCH($CW98,$L$86:$L$100,0),MATCH(DH$87,$AO$87:$BB$87,0))/INDEX(고양시_재차인원!$K$4:$O$20,MATCH("경기도",고양시_재차인원!$K$4:$K$20,0),MATCH(DH$87,고양시_재차인원!$K$4:$O$4,0))</f>
        <v>3.9537564901410041E-2</v>
      </c>
      <c r="DI98" s="267">
        <f>INDEX($AO$86:$BB$100,MATCH($CW98,$L$86:$L$100,0),MATCH(DI$87,$AO$87:$BB$87,0))/INDEX(고양시_재차인원!$D$4:$H$35,MATCH("고양시",고양시_재차인원!$B$4:$B$35,0),MATCH($DF$86,고양시_재차인원!$D$4:$H$4,0))</f>
        <v>0.95119679313918593</v>
      </c>
      <c r="DJ98" s="267">
        <f>INDEX($BC$86:$BP$100,MATCH($CW98,$L$86:$L$100,0),MATCH(DJ$87,$BC$87:$BP$87,0))/INDEX(고양시_재차인원!$D$4:$H$35,MATCH("고양시",고양시_재차인원!$B$4:$B$35,0),MATCH($DJ$86,고양시_재차인원!$D$4:$H$4,0))</f>
        <v>2.2251443173042392E-2</v>
      </c>
      <c r="DK98" s="267">
        <f>INDEX($BC$86:$BP$100,MATCH($CW98,$L$86:$L$100,0),MATCH(DK$87,$BC$87:$BP$87,0))/INDEX(고양시_재차인원!$K$4:$O$20,MATCH("경기도",고양시_재차인원!$K$4:$K$20,0),MATCH(DK$87,고양시_재차인원!$K$4:$O$4,0))</f>
        <v>2.2350150311140779E-7</v>
      </c>
      <c r="DL98" s="267">
        <f>INDEX($BC$86:$BP$100,MATCH($CW98,$L$86:$L$100,0),MATCH(DL$87,$BC$87:$BP$87,0))/INDEX(고양시_재차인원!$K$4:$O$20,MATCH("경기도",고양시_재차인원!$K$4:$K$20,0),MATCH(DL$87,고양시_재차인원!$K$4:$O$4,0))</f>
        <v>6.2133417864971367E-5</v>
      </c>
      <c r="DM98" s="267">
        <f>INDEX($BC$86:$BP$100,MATCH($CW98,$L$86:$L$100,0),MATCH(DM$87,$BC$87:$BP$87,0))/INDEX(고양시_재차인원!$D$4:$H$35,MATCH("고양시",고양시_재차인원!$B$4:$B$35,0),MATCH($DJ$86,고양시_재차인원!$D$4:$H$4,0))</f>
        <v>1.4288615433252821E-3</v>
      </c>
      <c r="DN98" s="267">
        <f>INDEX($BQ$86:$CD$100,MATCH($CW98,$L$86:$L$100,0),MATCH(DN$87,$BQ$87:$CD$87,0))/INDEX(고양시_재차인원!$D$4:$H$35,MATCH("고양시",고양시_재차인원!$B$4:$B$35,0),MATCH($DN$86,고양시_재차인원!$D$4:$H$4,0))</f>
        <v>9.0732516077731876E-2</v>
      </c>
      <c r="DO98" s="267">
        <f>INDEX($BQ$86:$CD$100,MATCH($CW98,$L$86:$L$100,0),MATCH(DO$87,$BQ$87:$CD$87,0))/INDEX(고양시_재차인원!$K$4:$O$20,MATCH("경기도",고양시_재차인원!$K$4:$K$20,0),MATCH(DO$87,고양시_재차인원!$K$4:$O$4,0))</f>
        <v>8.4433901175420667E-7</v>
      </c>
      <c r="DP98" s="267">
        <f>INDEX($BQ$86:$CD$100,MATCH($CW98,$L$86:$L$100,0),MATCH(DP$87,$BQ$87:$CD$87,0))/INDEX(고양시_재차인원!$K$4:$O$20,MATCH("경기도",고양시_재차인원!$K$4:$K$20,0),MATCH(DP$87,고양시_재차인원!$K$4:$O$4,0))</f>
        <v>2.3472624526766947E-4</v>
      </c>
      <c r="DQ98" s="267">
        <f>INDEX($BQ$86:$CD$100,MATCH($CW98,$L$86:$L$100,0),MATCH(DQ$87,$BQ$87:$CD$87,0))/INDEX(고양시_재차인원!$D$4:$H$35,MATCH("고양시",고양시_재차인원!$B$4:$B$35,0),MATCH($DN$86,고양시_재차인원!$D$4:$H$4,0))</f>
        <v>5.8263278450935638E-3</v>
      </c>
      <c r="DR98" s="270">
        <f t="shared" si="71"/>
        <v>294.40342444414694</v>
      </c>
      <c r="DS98" s="270">
        <f t="shared" si="64"/>
        <v>2.9649709402759304E-3</v>
      </c>
      <c r="DT98" s="270">
        <f t="shared" si="65"/>
        <v>0.82426192139670851</v>
      </c>
      <c r="DU98" s="270">
        <f t="shared" si="66"/>
        <v>18.904919026606926</v>
      </c>
      <c r="DW98" s="278" t="s">
        <v>170</v>
      </c>
      <c r="DX98" s="278" t="s">
        <v>170</v>
      </c>
      <c r="DY98" s="281">
        <f t="shared" si="72"/>
        <v>313.30834347075387</v>
      </c>
      <c r="DZ98" s="281">
        <f t="shared" si="73"/>
        <v>0.82722689233698443</v>
      </c>
      <c r="EB98" s="278" t="s">
        <v>171</v>
      </c>
      <c r="EC98" s="278" t="s">
        <v>171</v>
      </c>
      <c r="ED98" s="281">
        <f t="shared" si="81"/>
        <v>12.583358475618146</v>
      </c>
      <c r="EE98" s="281">
        <f t="shared" si="80"/>
        <v>3.3223796122491454E-2</v>
      </c>
      <c r="EK98" s="420" t="s">
        <v>47</v>
      </c>
      <c r="EL98" s="420" t="s">
        <v>47</v>
      </c>
      <c r="EM98" s="420" t="s">
        <v>571</v>
      </c>
      <c r="EN98" s="420">
        <v>2430.8498</v>
      </c>
      <c r="EO98" s="420">
        <v>0.25465418977491561</v>
      </c>
      <c r="EP98" s="421">
        <v>849011</v>
      </c>
      <c r="EQ98" s="422">
        <f t="shared" si="75"/>
        <v>58.414861890499154</v>
      </c>
      <c r="ER98" s="422">
        <f t="shared" si="76"/>
        <v>0.15423254973892028</v>
      </c>
      <c r="ES98">
        <v>0</v>
      </c>
      <c r="EU98" s="306" t="s">
        <v>47</v>
      </c>
      <c r="EV98" s="306" t="s">
        <v>47</v>
      </c>
      <c r="EW98" s="306" t="s">
        <v>571</v>
      </c>
      <c r="EX98" s="306">
        <v>2430.8498</v>
      </c>
      <c r="EY98" s="306">
        <v>0.25465418977491561</v>
      </c>
      <c r="EZ98" s="307">
        <v>849011</v>
      </c>
      <c r="FA98" s="308">
        <f t="shared" si="77"/>
        <v>58.414861890499154</v>
      </c>
      <c r="FB98" s="308">
        <f t="shared" si="68"/>
        <v>0.15423254973892028</v>
      </c>
      <c r="FD98" s="101"/>
      <c r="FE98" s="101"/>
      <c r="FF98" s="101"/>
      <c r="FG98" s="101"/>
      <c r="FH98" s="101"/>
      <c r="FI98" s="374"/>
      <c r="FJ98" s="404"/>
      <c r="FK98" s="404"/>
    </row>
    <row r="99" spans="1:167">
      <c r="A99" s="205" t="s">
        <v>171</v>
      </c>
      <c r="B99" s="205" t="s">
        <v>171</v>
      </c>
      <c r="C99" s="201">
        <f>$K40*KTDB_TripDistribution_2045!T$12</f>
        <v>3.9609050701610387</v>
      </c>
      <c r="D99" s="201">
        <f>$K40*KTDB_TripDistribution_2045!U$12</f>
        <v>28.665880321456857</v>
      </c>
      <c r="E99" s="201">
        <f>$K40*KTDB_TripDistribution_2045!V$12</f>
        <v>1.6444906000298853</v>
      </c>
      <c r="F99" s="201">
        <f>$K40*KTDB_TripDistribution_2045!W$12</f>
        <v>2.5843225773125537E-3</v>
      </c>
      <c r="G99" s="201">
        <f>$K40*KTDB_TripDistribution_2045!X$12</f>
        <v>9.7629964031807504E-3</v>
      </c>
      <c r="H99" s="201">
        <f>$K40*KTDB_TripDistribution_2045!Y$12</f>
        <v>34.283623310628272</v>
      </c>
      <c r="I99" s="56"/>
      <c r="J99" s="56"/>
      <c r="K99" s="206" t="s">
        <v>171</v>
      </c>
      <c r="L99" s="206" t="s">
        <v>171</v>
      </c>
      <c r="M99" s="206">
        <f>INDEX($A$87:$H$100,MATCH($L99,$B$87:$B$100,0),MATCH($M$86,$A$87:$H$87,0))*고양시_Modal_split!C$3 * 0.01</f>
        <v>1.1090534196450908E-2</v>
      </c>
      <c r="N99" s="206">
        <f>INDEX($A$87:$H$100,MATCH($L99,$B$87:$B$100,0),MATCH($M$86,$A$87:$H$87,0))*고양시_Modal_split!D$3 * 0.01</f>
        <v>1.8628136544967364</v>
      </c>
      <c r="O99" s="206">
        <f>INDEX($A$87:$H$100,MATCH($L99,$B$87:$B$100,0),MATCH($M$86,$A$87:$H$87,0))*고양시_Modal_split!E$3 * 0.01</f>
        <v>0.2253754984921631</v>
      </c>
      <c r="P99" s="206">
        <f>INDEX($A$87:$H$100,MATCH($L99,$B$87:$B$100,0),MATCH($M$86,$A$87:$H$87,0))*고양시_Modal_split!F$3 * 0.01</f>
        <v>0.3632149949337673</v>
      </c>
      <c r="Q99" s="206">
        <f>INDEX($A$87:$H$100,MATCH($L99,$B$87:$B$100,0),MATCH($M$86,$A$87:$H$87,0))*고양시_Modal_split!G$3 * 0.01</f>
        <v>3.6440326645481552E-2</v>
      </c>
      <c r="R99" s="206">
        <f>INDEX($A$87:$H$100,MATCH($L99,$B$87:$B$100,0),MATCH($M$86,$A$87:$H$87,0))*고양시_Modal_split!H$3 * 0.01</f>
        <v>3.9609050701610389E-4</v>
      </c>
      <c r="S99" s="206">
        <f>INDEX($A$87:$H$100,MATCH($L99,$B$87:$B$100,0),MATCH($M$86,$A$87:$H$87,0))*고양시_Modal_split!I$3 * 0.01</f>
        <v>0.11011316095047687</v>
      </c>
      <c r="T99" s="206">
        <f>INDEX($A$87:$H$100,MATCH($L99,$B$87:$B$100,0),MATCH($M$86,$A$87:$H$87,0))*고양시_Modal_split!J$3 * 0.01</f>
        <v>1.2056995033570201</v>
      </c>
      <c r="U99" s="206">
        <f>INDEX($A$87:$H$100,MATCH($L99,$B$87:$B$100,0),MATCH($M$86,$A$87:$H$87,0))*고양시_Modal_split!K$3 * 0.01</f>
        <v>5.9413576052415578E-3</v>
      </c>
      <c r="V99" s="206">
        <f>INDEX($A$87:$H$100,MATCH($L99,$B$87:$B$100,0),MATCH($M$86,$A$87:$H$87,0))*고양시_Modal_split!L$3 * 0.01</f>
        <v>0.11961933311886337</v>
      </c>
      <c r="W99" s="206">
        <f>INDEX($A$87:$H$100,MATCH($L99,$B$87:$B$100,0),MATCH($M$86,$A$87:$H$87,0))*고양시_Modal_split!M$3 * 0.01</f>
        <v>9.1100816613703881E-3</v>
      </c>
      <c r="X99" s="206">
        <f>INDEX($A$87:$H$100,MATCH($L99,$B$87:$B$100,0),MATCH($M$86,$A$87:$H$87,0))*고양시_Modal_split!N$3 * 0.01</f>
        <v>3.9609050701610391E-3</v>
      </c>
      <c r="Y99" s="206">
        <f>INDEX($A$87:$H$100,MATCH($L99,$B$87:$B$100,0),MATCH($M$86,$A$87:$H$87,0))*고양시_Modal_split!O$3 * 0.01</f>
        <v>7.1296291262898694E-3</v>
      </c>
      <c r="Z99" s="209">
        <f>INDEX($A$87:$H$100,MATCH($L99,$B$87:$B$100,0),MATCH($M$86,$A$87:$H$87,0))*고양시_Modal_split!P$3 * 0.01</f>
        <v>3.9609050701610387</v>
      </c>
      <c r="AA99" s="207">
        <f>INDEX($A$87:$H$100,MATCH($L99,$B$87:$B$100,0),MATCH($AA$86,$A$87:$H$87,0))*고양시_Modal_split!C$3 * 0.01</f>
        <v>8.0264464900079185E-2</v>
      </c>
      <c r="AB99" s="207">
        <f>INDEX($A$87:$H$100,MATCH($L99,$B$87:$B$100,0),MATCH($AA$86,$A$87:$H$87,0))*고양시_Modal_split!D$3 * 0.01</f>
        <v>13.481563515181161</v>
      </c>
      <c r="AC99" s="207">
        <f>INDEX($A$87:$H$100,MATCH($L99,$B$87:$B$100,0),MATCH($AA$86,$A$87:$H$87,0))*고양시_Modal_split!E$3 * 0.01</f>
        <v>1.6310885902908951</v>
      </c>
      <c r="AD99" s="207">
        <f>INDEX($A$87:$H$100,MATCH($L99,$B$87:$B$100,0),MATCH($AA$86,$A$87:$H$87,0))*고양시_Modal_split!F$3 * 0.01</f>
        <v>2.6286612254775941</v>
      </c>
      <c r="AE99" s="207">
        <f>INDEX($A$87:$H$100,MATCH($L99,$B$87:$B$100,0),MATCH($AA$86,$A$87:$H$87,0))*고양시_Modal_split!G$3 * 0.01</f>
        <v>0.26372609895740307</v>
      </c>
      <c r="AF99" s="207">
        <f>INDEX($A$87:$H$100,MATCH($L99,$B$87:$B$100,0),MATCH($AA$86,$A$87:$H$87,0))*고양시_Modal_split!H$3 * 0.01</f>
        <v>2.8665880321456861E-3</v>
      </c>
      <c r="AG99" s="207">
        <f>INDEX($A$87:$H$100,MATCH($L99,$B$87:$B$100,0),MATCH($AA$86,$A$87:$H$87,0))*고양시_Modal_split!I$3 * 0.01</f>
        <v>0.79691147293650066</v>
      </c>
      <c r="AH99" s="207">
        <f>INDEX($A$87:$H$100,MATCH($L99,$B$87:$B$100,0),MATCH($AA$86,$A$87:$H$87,0))*고양시_Modal_split!J$3 * 0.01</f>
        <v>8.7258939698514677</v>
      </c>
      <c r="AI99" s="207">
        <f>INDEX($A$87:$H$100,MATCH($L99,$B$87:$B$100,0),MATCH($AA$86,$A$87:$H$87,0))*고양시_Modal_split!K$3 * 0.01</f>
        <v>4.2998820482185278E-2</v>
      </c>
      <c r="AJ99" s="207">
        <f>INDEX($A$87:$H$100,MATCH($L99,$B$87:$B$100,0),MATCH($AA$86,$A$87:$H$87,0))*고양시_Modal_split!L$3 * 0.01</f>
        <v>0.86570958570799705</v>
      </c>
      <c r="AK99" s="207">
        <f>INDEX($A$87:$H$100,MATCH($L99,$B$87:$B$100,0),MATCH($AA$86,$A$87:$H$87,0))*고양시_Modal_split!M$3 * 0.01</f>
        <v>6.5931524739350766E-2</v>
      </c>
      <c r="AL99" s="207">
        <f>INDEX($A$87:$H$100,MATCH($L99,$B$87:$B$100,0),MATCH($AA$86,$A$87:$H$87,0))*고양시_Modal_split!N$3 * 0.01</f>
        <v>2.8665880321456859E-2</v>
      </c>
      <c r="AM99" s="207">
        <f>INDEX($A$87:$H$100,MATCH($L99,$B$87:$B$100,0),MATCH($AA$86,$A$87:$H$87,0))*고양시_Modal_split!O$3 * 0.01</f>
        <v>5.159858457862234E-2</v>
      </c>
      <c r="AN99" s="207">
        <f>INDEX($A$87:$H$100,MATCH($L99,$B$87:$B$100,0),MATCH($AA$86,$A$87:$H$87,0))*고양시_Modal_split!P$3 * 0.01</f>
        <v>28.665880321456857</v>
      </c>
      <c r="AO99" s="303">
        <f>INDEX($A$87:$H$100,MATCH($L99,$B$87:$B$100,0),MATCH($AO$86,$A$87:$H$87,0))*고양시_Modal_split!C$3 * 0.01</f>
        <v>4.6045736800836784E-3</v>
      </c>
      <c r="AP99" s="303">
        <f>INDEX($A$87:$H$100,MATCH($L99,$B$87:$B$100,0),MATCH($AO$86,$A$87:$H$87,0))*고양시_Modal_split!D$3 * 0.01</f>
        <v>0.7734039291940551</v>
      </c>
      <c r="AQ99" s="303">
        <f>INDEX($A$87:$H$100,MATCH($L99,$B$87:$B$100,0),MATCH($AO$86,$A$87:$H$87,0))*고양시_Modal_split!E$3 * 0.01</f>
        <v>9.3571515141700479E-2</v>
      </c>
      <c r="AR99" s="303">
        <f>INDEX($A$87:$H$100,MATCH($L99,$B$87:$B$100,0),MATCH($AO$86,$A$87:$H$87,0))*고양시_Modal_split!F$3 * 0.01</f>
        <v>0.15079978802274049</v>
      </c>
      <c r="AS99" s="303">
        <f>INDEX($A$87:$H$100,MATCH($L99,$B$87:$B$100,0),MATCH($AO$86,$A$87:$H$87,0))*고양시_Modal_split!G$3 * 0.01</f>
        <v>1.5129313520274943E-2</v>
      </c>
      <c r="AT99" s="303">
        <f>INDEX($A$87:$H$100,MATCH($L99,$B$87:$B$100,0),MATCH($AO$86,$A$87:$H$87,0))*고양시_Modal_split!H$3 * 0.01</f>
        <v>1.6444906000298855E-4</v>
      </c>
      <c r="AU99" s="303">
        <f>INDEX($A$87:$H$100,MATCH($L99,$B$87:$B$100,0),MATCH($AO$86,$A$87:$H$87,0))*고양시_Modal_split!I$3 * 0.01</f>
        <v>4.5716838680830811E-2</v>
      </c>
      <c r="AV99" s="303">
        <f>INDEX($A$87:$H$100,MATCH($L99,$B$87:$B$100,0),MATCH($AO$86,$A$87:$H$87,0))*고양시_Modal_split!J$3 * 0.01</f>
        <v>0.5005829386490972</v>
      </c>
      <c r="AW99" s="303">
        <f>INDEX($A$87:$H$100,MATCH($L99,$B$87:$B$100,0),MATCH($AO$86,$A$87:$H$87,0))*고양시_Modal_split!K$3 * 0.01</f>
        <v>2.466735900044828E-3</v>
      </c>
      <c r="AX99" s="303">
        <f>INDEX($A$87:$H$100,MATCH($L99,$B$87:$B$100,0),MATCH($AO$86,$A$87:$H$87,0))*고양시_Modal_split!L$3 * 0.01</f>
        <v>4.9663616120902539E-2</v>
      </c>
      <c r="AY99" s="303">
        <f>INDEX($A$87:$H$100,MATCH($L99,$B$87:$B$100,0),MATCH($AO$86,$A$87:$H$87,0))*고양시_Modal_split!M$3 * 0.01</f>
        <v>3.7823283800687358E-3</v>
      </c>
      <c r="AZ99" s="303">
        <f>INDEX($A$87:$H$100,MATCH($L99,$B$87:$B$100,0),MATCH($AO$86,$A$87:$H$87,0))*고양시_Modal_split!N$3 * 0.01</f>
        <v>1.6444906000298853E-3</v>
      </c>
      <c r="BA99" s="207">
        <f>INDEX($A$87:$H$100,MATCH($L99,$B$87:$B$100,0),MATCH($AO$86,$A$87:$H$87,0))*고양시_Modal_split!O$3 * 0.01</f>
        <v>2.9600830800537935E-3</v>
      </c>
      <c r="BB99" s="207">
        <f>INDEX($A$87:$H$100,MATCH($L99,$B$87:$B$100,0),MATCH($AO$86,$A$87:$H$87,0))*고양시_Modal_split!P$3 * 0.01</f>
        <v>1.6444906000298856</v>
      </c>
      <c r="BC99" s="207">
        <f>INDEX($A$87:$H$100,MATCH($L99,$B$87:$B$100,0),MATCH($BC$86,$A$87:$H$87,0))*고양시_Modal_split!C$3 * 0.01</f>
        <v>7.2361032164751489E-6</v>
      </c>
      <c r="BD99" s="207">
        <f>INDEX($A$87:$H$100,MATCH($L99,$B$87:$B$100,0),MATCH($BC$86,$A$87:$H$87,0))*고양시_Modal_split!D$3 * 0.01</f>
        <v>1.2154069081100941E-3</v>
      </c>
      <c r="BE99" s="207">
        <f>INDEX($A$87:$H$100,MATCH($L99,$B$87:$B$100,0),MATCH($BC$86,$A$87:$H$87,0))*고양시_Modal_split!E$3 * 0.01</f>
        <v>1.4704795464908429E-4</v>
      </c>
      <c r="BF99" s="207">
        <f>INDEX($A$87:$H$100,MATCH($L99,$B$87:$B$100,0),MATCH($BC$86,$A$87:$H$87,0))*고양시_Modal_split!F$3 * 0.01</f>
        <v>2.3698238033956117E-4</v>
      </c>
      <c r="BG99" s="207">
        <f>INDEX($A$87:$H$100,MATCH($L99,$B$87:$B$100,0),MATCH($BC$86,$A$87:$H$87,0))*고양시_Modal_split!G$3 * 0.01</f>
        <v>2.377576771127549E-5</v>
      </c>
      <c r="BH99" s="207">
        <f>INDEX($A$87:$H$100,MATCH($L99,$B$87:$B$100,0),MATCH($BC$86,$A$87:$H$87,0))*고양시_Modal_split!H$3 * 0.01</f>
        <v>2.5843225773125535E-7</v>
      </c>
      <c r="BI99" s="207">
        <f>INDEX($A$87:$H$100,MATCH($L99,$B$87:$B$100,0),MATCH($BC$86,$A$87:$H$87,0))*고양시_Modal_split!I$3 * 0.01</f>
        <v>7.1844167649288995E-5</v>
      </c>
      <c r="BJ99" s="207">
        <f>INDEX($A$87:$H$100,MATCH($L99,$B$87:$B$100,0),MATCH($BC$86,$A$87:$H$87,0))*고양시_Modal_split!J$3 * 0.01</f>
        <v>7.8666779253394137E-4</v>
      </c>
      <c r="BK99" s="207">
        <f>INDEX($A$87:$H$100,MATCH($L99,$B$87:$B$100,0),MATCH($BC$86,$A$87:$H$87,0))*고양시_Modal_split!K$3 * 0.01</f>
        <v>3.8764838659688307E-6</v>
      </c>
      <c r="BL99" s="207">
        <f>INDEX($A$87:$H$100,MATCH($L99,$B$87:$B$100,0),MATCH($BC$86,$A$87:$H$87,0))*고양시_Modal_split!L$3 * 0.01</f>
        <v>7.8046541834839126E-5</v>
      </c>
      <c r="BM99" s="207">
        <f>INDEX($A$87:$H$100,MATCH($L99,$B$87:$B$100,0),MATCH($BC$86,$A$87:$H$87,0))*고양시_Modal_split!M$3 * 0.01</f>
        <v>5.9439419278188726E-6</v>
      </c>
      <c r="BN99" s="207">
        <f>INDEX($A$87:$H$100,MATCH($L99,$B$87:$B$100,0),MATCH($BC$86,$A$87:$H$87,0))*고양시_Modal_split!N$3 * 0.01</f>
        <v>2.5843225773125539E-6</v>
      </c>
      <c r="BO99" s="207">
        <f>INDEX($A$87:$H$100,MATCH($L99,$B$87:$B$100,0),MATCH($BC$86,$A$87:$H$87,0))*고양시_Modal_split!O$3 * 0.01</f>
        <v>4.6517806391625971E-6</v>
      </c>
      <c r="BP99" s="207">
        <f>INDEX($A$87:$H$100,MATCH($L99,$B$87:$B$100,0),MATCH($BC$86,$A$87:$H$87,0))*고양시_Modal_split!P$3 * 0.01</f>
        <v>2.5843225773125541E-3</v>
      </c>
      <c r="BQ99" s="207">
        <f>INDEX($A$87:$H$100,MATCH($L99,$B$87:$B$100,0),MATCH($BQ$86,$A$87:$H$87,0))*고양시_Modal_split!C$3 * 0.01</f>
        <v>2.73363899289061E-5</v>
      </c>
      <c r="BR99" s="207">
        <f>INDEX($A$87:$H$100,MATCH($L99,$B$87:$B$100,0),MATCH($BQ$86,$A$87:$H$87,0))*고양시_Modal_split!D$3 * 0.01</f>
        <v>4.5915372084159075E-3</v>
      </c>
      <c r="BS99" s="207">
        <f>INDEX($A$87:$H$100,MATCH($L99,$B$87:$B$100,0),MATCH($BQ$86,$A$87:$H$87,0))*고양시_Modal_split!E$3 * 0.01</f>
        <v>5.555144953409846E-4</v>
      </c>
      <c r="BT99" s="207">
        <f>INDEX($A$87:$H$100,MATCH($L99,$B$87:$B$100,0),MATCH($BQ$86,$A$87:$H$87,0))*고양시_Modal_split!F$3 * 0.01</f>
        <v>8.9526677017167473E-4</v>
      </c>
      <c r="BU99" s="207">
        <f>INDEX($A$87:$H$100,MATCH($L99,$B$87:$B$100,0),MATCH($BQ$86,$A$87:$H$87,0))*고양시_Modal_split!G$3 * 0.01</f>
        <v>8.9819566909262889E-5</v>
      </c>
      <c r="BV99" s="207">
        <f>INDEX($A$87:$H$100,MATCH($L99,$B$87:$B$100,0),MATCH($BQ$86,$A$87:$H$87,0))*고양시_Modal_split!H$3 * 0.01</f>
        <v>9.762996403180751E-7</v>
      </c>
      <c r="BW99" s="207">
        <f>INDEX($A$87:$H$100,MATCH($L99,$B$87:$B$100,0),MATCH($BQ$86,$A$87:$H$87,0))*고양시_Modal_split!I$3 * 0.01</f>
        <v>2.7141130000842483E-4</v>
      </c>
      <c r="BX99" s="207">
        <f>INDEX($A$87:$H$100,MATCH($L99,$B$87:$B$100,0),MATCH($BQ$86,$A$87:$H$87,0))*고양시_Modal_split!J$3 * 0.01</f>
        <v>2.9718561051282205E-3</v>
      </c>
      <c r="BY99" s="207">
        <f>INDEX($A$87:$H$100,MATCH($L99,$B$87:$B$100,0),MATCH($BQ$86,$A$87:$H$87,0))*고양시_Modal_split!K$3 * 0.01</f>
        <v>1.4644494604771125E-5</v>
      </c>
      <c r="BZ99" s="207">
        <f>INDEX($A$87:$H$100,MATCH($L99,$B$87:$B$100,0),MATCH($BQ$86,$A$87:$H$87,0))*고양시_Modal_split!L$3 * 0.01</f>
        <v>2.9484249137605868E-4</v>
      </c>
      <c r="CA99" s="207">
        <f>INDEX($A$87:$H$100,MATCH($L99,$B$87:$B$100,0),MATCH($BQ$86,$A$87:$H$87,0))*고양시_Modal_split!M$3 * 0.01</f>
        <v>2.2454891727315722E-5</v>
      </c>
      <c r="CB99" s="207">
        <f>INDEX($A$87:$H$100,MATCH($L99,$B$87:$B$100,0),MATCH($BQ$86,$A$87:$H$87,0))*고양시_Modal_split!N$3 * 0.01</f>
        <v>9.762996403180751E-6</v>
      </c>
      <c r="CC99" s="207">
        <f>INDEX($A$87:$H$100,MATCH($L99,$B$87:$B$100,0),MATCH($BQ$86,$A$87:$H$87,0))*고양시_Modal_split!O$3 * 0.01</f>
        <v>1.7573393525725352E-5</v>
      </c>
      <c r="CD99" s="207">
        <f>INDEX($A$87:$H$100,MATCH($L99,$B$87:$B$100,0),MATCH($BQ$86,$A$87:$H$87,0))*고양시_Modal_split!P$3 * 0.01</f>
        <v>9.7629964031807504E-3</v>
      </c>
      <c r="CE99" s="304">
        <f t="shared" si="69"/>
        <v>9.5994145269759162E-2</v>
      </c>
      <c r="CF99" s="304">
        <f t="shared" si="51"/>
        <v>16.123588042988477</v>
      </c>
      <c r="CG99" s="304">
        <f t="shared" si="52"/>
        <v>1.9507381663747487</v>
      </c>
      <c r="CH99" s="304">
        <f t="shared" si="53"/>
        <v>3.1438082575846131</v>
      </c>
      <c r="CI99" s="304">
        <f t="shared" si="54"/>
        <v>0.31540933445778019</v>
      </c>
      <c r="CJ99" s="304">
        <f t="shared" si="55"/>
        <v>3.4283623310628277E-3</v>
      </c>
      <c r="CK99" s="304">
        <f t="shared" si="56"/>
        <v>0.95308472803546596</v>
      </c>
      <c r="CL99" s="304">
        <f t="shared" si="57"/>
        <v>10.435934935755247</v>
      </c>
      <c r="CM99" s="304">
        <f t="shared" si="58"/>
        <v>5.1425434965942401E-2</v>
      </c>
      <c r="CN99" s="304">
        <f t="shared" si="59"/>
        <v>1.035365423980974</v>
      </c>
      <c r="CO99" s="304">
        <f t="shared" si="60"/>
        <v>7.8852333614445047E-2</v>
      </c>
      <c r="CP99" s="304">
        <f t="shared" si="61"/>
        <v>3.4283623310628272E-2</v>
      </c>
      <c r="CQ99" s="304">
        <f t="shared" si="62"/>
        <v>6.1710521959130897E-2</v>
      </c>
      <c r="CR99" s="304">
        <f t="shared" si="63"/>
        <v>34.283623310628272</v>
      </c>
      <c r="CS99" s="305">
        <f t="shared" si="70"/>
        <v>0</v>
      </c>
      <c r="CV99" s="267" t="s">
        <v>171</v>
      </c>
      <c r="CW99" s="267" t="s">
        <v>171</v>
      </c>
      <c r="CX99" s="267">
        <f>INDEX($M$86:$Z$100,MATCH($CW99,$L$86:$L$100,0),MATCH(CX$87,$M$87:$Z$87,0))/INDEX(고양시_재차인원!$D$4:$H$35,MATCH("고양시",고양시_재차인원!$B$4:$B$35,0),MATCH($CX$86,고양시_재차인원!$D$4:$H$4,0))</f>
        <v>1.6632264772292289</v>
      </c>
      <c r="CY99" s="267">
        <f>INDEX($M$86:$Z$100,MATCH($CW99,$L$86:$L$100,0),MATCH(CY$87,$M$87:$Z$87,0))/INDEX(고양시_재차인원!$K$4:$O$20,MATCH("경기도",고양시_재차인원!$K$4:$K$20,0),MATCH($CY$87,고양시_재차인원!$K$4:$O$4,0))</f>
        <v>1.3757919660163387E-5</v>
      </c>
      <c r="CZ99" s="267">
        <f>INDEX($M$86:$Z$100,MATCH($CW99,$L$86:$L$100,0),MATCH(CZ$87,$M$87:$Z$87,0))/INDEX(고양시_재차인원!$K$4:$O$20,MATCH("경기도",고양시_재차인원!$K$4:$K$20,0),MATCH($CZ$87,고양시_재차인원!$K$4:$O$4,0))</f>
        <v>3.824701665525421E-3</v>
      </c>
      <c r="DA99" s="267">
        <f>INDEX($M$86:$Z$100,MATCH($CW99,$L$86:$L$100,0),MATCH(DA$87,$M$87:$Z$87,0))/INDEX(고양시_재차인원!$D$4:$H$35,MATCH("고양시",고양시_재차인원!$B$4:$B$35,0),MATCH($CX$86,고양시_재차인원!$D$4:$H$4,0))</f>
        <v>0.10680297599898514</v>
      </c>
      <c r="DB99" s="267">
        <f>INDEX($AA$86:$AN$100,MATCH($CW99,$L$86:$L$100,0),MATCH(DB$87,$AA$87:$AN$87,0))/INDEX(고양시_재차인원!$D$4:$H$35,MATCH("고양시",고양시_재차인원!$B$4:$B$35,0),MATCH($DB$86,고양시_재차인원!$D$4:$H$4,0))</f>
        <v>9.5613925639582718</v>
      </c>
      <c r="DC99" s="267">
        <f>INDEX($AA$86:$AN$100,MATCH($CW99,$L$86:$L$100,0),MATCH(DC$87,$AA$87:$AN$87,0))/INDEX(고양시_재차인원!$K$4:$O$20,MATCH("경기도",고양시_재차인원!$K$4:$K$20,0),MATCH(DC$87,고양시_재차인원!$K$4:$O$4,0))</f>
        <v>9.9568879199224945E-5</v>
      </c>
      <c r="DD99" s="267">
        <f>INDEX($AA$86:$AN$100,MATCH($CW99,$L$86:$L$100,0),MATCH(DD$87,$AA$87:$AN$87,0))/INDEX(고양시_재차인원!$K$4:$O$20,MATCH("경기도",고양시_재차인원!$K$4:$K$20,0),MATCH(DD$87,고양시_재차인원!$K$4:$O$4,0))</f>
        <v>2.7680148417384531E-2</v>
      </c>
      <c r="DE99" s="267">
        <f>INDEX($AA$86:$AN$100,MATCH($CW99,$L$86:$L$100,0),MATCH(DE$87,$AA$87:$AN$87,0))/INDEX(고양시_재차인원!$D$4:$H$35,MATCH("고양시",고양시_재차인원!$B$4:$B$35,0),MATCH($DB$86,고양시_재차인원!$D$4:$H$4,0))</f>
        <v>0.61397842958013982</v>
      </c>
      <c r="DF99" s="267">
        <f>INDEX($AO$86:$BB$100,MATCH($CW99,$L$86:$L$100,0),MATCH(DF$87,$AO$87:$BB$87,0))/INDEX(고양시_재차인원!$D$4:$H$35,MATCH("고양시",고양시_재차인원!$B$4:$B$35,0),MATCH($DF$86,고양시_재차인원!$D$4:$H$4,0))</f>
        <v>0.59492609938004237</v>
      </c>
      <c r="DG99" s="267">
        <f>INDEX($AO$86:$BB$100,MATCH($CW99,$L$86:$L$100,0),MATCH(DG$87,$AO$87:$BB$87,0))/INDEX(고양시_재차인원!$K$4:$O$20,MATCH("경기도",고양시_재차인원!$K$4:$K$20,0),MATCH(DG$87,고양시_재차인원!$K$4:$O$4,0))</f>
        <v>5.7120201459877931E-6</v>
      </c>
      <c r="DH99" s="267">
        <f>INDEX($AO$86:$BB$100,MATCH($CW99,$L$86:$L$100,0),MATCH(DH$87,$AO$87:$BB$87,0))/INDEX(고양시_재차인원!$K$4:$O$20,MATCH("경기도",고양시_재차인원!$K$4:$K$20,0),MATCH(DH$87,고양시_재차인원!$K$4:$O$4,0))</f>
        <v>1.5879416005846062E-3</v>
      </c>
      <c r="DI99" s="267">
        <f>INDEX($AO$86:$BB$100,MATCH($CW99,$L$86:$L$100,0),MATCH(DI$87,$AO$87:$BB$87,0))/INDEX(고양시_재차인원!$D$4:$H$35,MATCH("고양시",고양시_재차인원!$B$4:$B$35,0),MATCH($DF$86,고양시_재차인원!$D$4:$H$4,0))</f>
        <v>3.8202781631463491E-2</v>
      </c>
      <c r="DJ99" s="267">
        <f>INDEX($BC$86:$BP$100,MATCH($CW99,$L$86:$L$100,0),MATCH(DJ$87,$BC$87:$BP$87,0))/INDEX(고양시_재차인원!$D$4:$H$35,MATCH("고양시",고양시_재차인원!$B$4:$B$35,0),MATCH($DJ$86,고양시_재차인원!$D$4:$H$4,0))</f>
        <v>8.936815500809515E-4</v>
      </c>
      <c r="DK99" s="267">
        <f>INDEX($BC$86:$BP$100,MATCH($CW99,$L$86:$L$100,0),MATCH(DK$87,$BC$87:$BP$87,0))/INDEX(고양시_재차인원!$K$4:$O$20,MATCH("경기도",고양시_재차인원!$K$4:$K$20,0),MATCH(DK$87,고양시_재차인원!$K$4:$O$4,0))</f>
        <v>8.9764591084145655E-9</v>
      </c>
      <c r="DL99" s="267">
        <f>INDEX($BC$86:$BP$100,MATCH($CW99,$L$86:$L$100,0),MATCH(DL$87,$BC$87:$BP$87,0))/INDEX(고양시_재차인원!$K$4:$O$20,MATCH("경기도",고양시_재차인원!$K$4:$K$20,0),MATCH(DL$87,고양시_재차인원!$K$4:$O$4,0))</f>
        <v>2.4954556321392497E-6</v>
      </c>
      <c r="DM99" s="267">
        <f>INDEX($BC$86:$BP$100,MATCH($CW99,$L$86:$L$100,0),MATCH(DM$87,$BC$87:$BP$87,0))/INDEX(고양시_재차인원!$D$4:$H$35,MATCH("고양시",고양시_재차인원!$B$4:$B$35,0),MATCH($DJ$86,고양시_재차인원!$D$4:$H$4,0))</f>
        <v>5.7387163113852298E-5</v>
      </c>
      <c r="DN99" s="267">
        <f>INDEX($BQ$86:$CD$100,MATCH($CW99,$L$86:$L$100,0),MATCH(DN$87,$BQ$87:$CD$87,0))/INDEX(고양시_재차인원!$D$4:$H$35,MATCH("고양시",고양시_재차인원!$B$4:$B$35,0),MATCH($DN$86,고양시_재차인원!$D$4:$H$4,0))</f>
        <v>3.6440771495364344E-3</v>
      </c>
      <c r="DO99" s="267">
        <f>INDEX($BQ$86:$CD$100,MATCH($CW99,$L$86:$L$100,0),MATCH(DO$87,$BQ$87:$CD$87,0))/INDEX(고양시_재차인원!$K$4:$O$20,MATCH("경기도",고양시_재차인원!$K$4:$K$20,0),MATCH(DO$87,고양시_재차인원!$K$4:$O$4,0))</f>
        <v>3.3911067742899448E-8</v>
      </c>
      <c r="DP99" s="267">
        <f>INDEX($BQ$86:$CD$100,MATCH($CW99,$L$86:$L$100,0),MATCH(DP$87,$BQ$87:$CD$87,0))/INDEX(고양시_재차인원!$K$4:$O$20,MATCH("경기도",고양시_재차인원!$K$4:$K$20,0),MATCH(DP$87,고양시_재차인원!$K$4:$O$4,0))</f>
        <v>9.4272768325260457E-6</v>
      </c>
      <c r="DQ99" s="267">
        <f>INDEX($BQ$86:$CD$100,MATCH($CW99,$L$86:$L$100,0),MATCH(DQ$87,$BQ$87:$CD$87,0))/INDEX(고양시_재차인원!$D$4:$H$35,MATCH("고양시",고양시_재차인원!$B$4:$B$35,0),MATCH($DN$86,고양시_재차인원!$D$4:$H$4,0))</f>
        <v>2.3400197728258625E-4</v>
      </c>
      <c r="DR99" s="270">
        <f t="shared" si="71"/>
        <v>11.824082899267161</v>
      </c>
      <c r="DS99" s="270">
        <f t="shared" si="64"/>
        <v>1.1908170653222744E-4</v>
      </c>
      <c r="DT99" s="270">
        <f t="shared" si="65"/>
        <v>3.3104714415959226E-2</v>
      </c>
      <c r="DU99" s="270">
        <f t="shared" si="66"/>
        <v>0.75927557635098497</v>
      </c>
      <c r="DW99" s="278" t="s">
        <v>171</v>
      </c>
      <c r="DX99" s="278" t="s">
        <v>171</v>
      </c>
      <c r="DY99" s="281">
        <f t="shared" si="72"/>
        <v>12.583358475618146</v>
      </c>
      <c r="DZ99" s="281">
        <f t="shared" si="73"/>
        <v>3.3223796122491454E-2</v>
      </c>
      <c r="EB99" s="278" t="s">
        <v>26</v>
      </c>
      <c r="EC99" s="278" t="s">
        <v>26</v>
      </c>
      <c r="ED99" s="281">
        <f t="shared" si="81"/>
        <v>5413.8291601995352</v>
      </c>
      <c r="EE99" s="281">
        <f t="shared" si="80"/>
        <v>14.294113658844374</v>
      </c>
      <c r="EK99" s="420" t="s">
        <v>47</v>
      </c>
      <c r="EL99" s="420" t="s">
        <v>47</v>
      </c>
      <c r="EM99" s="420" t="s">
        <v>572</v>
      </c>
      <c r="EN99" s="420">
        <v>2252.9902000000002</v>
      </c>
      <c r="EO99" s="420">
        <v>0.23602173772802626</v>
      </c>
      <c r="EP99" s="421">
        <v>849012</v>
      </c>
      <c r="EQ99" s="422">
        <f t="shared" si="75"/>
        <v>54.140782936752437</v>
      </c>
      <c r="ER99" s="422">
        <f t="shared" si="76"/>
        <v>0.14294771445064189</v>
      </c>
      <c r="ES99">
        <v>0</v>
      </c>
      <c r="EU99" s="306" t="s">
        <v>47</v>
      </c>
      <c r="EV99" s="306" t="s">
        <v>47</v>
      </c>
      <c r="EW99" s="306" t="s">
        <v>572</v>
      </c>
      <c r="EX99" s="306">
        <v>2252.9902000000002</v>
      </c>
      <c r="EY99" s="306">
        <v>0.23602173772802626</v>
      </c>
      <c r="EZ99" s="307">
        <v>849012</v>
      </c>
      <c r="FA99" s="308">
        <f t="shared" si="77"/>
        <v>54.140782936752437</v>
      </c>
      <c r="FB99" s="308">
        <f t="shared" si="68"/>
        <v>0.14294771445064189</v>
      </c>
      <c r="FD99" s="101"/>
      <c r="FE99" s="101"/>
      <c r="FF99" s="101"/>
      <c r="FG99" s="101"/>
      <c r="FH99" s="101"/>
      <c r="FI99" s="374"/>
      <c r="FJ99" s="404"/>
      <c r="FK99" s="404"/>
    </row>
    <row r="100" spans="1:167">
      <c r="A100" s="205" t="s">
        <v>26</v>
      </c>
      <c r="B100" s="205" t="s">
        <v>26</v>
      </c>
      <c r="C100" s="201">
        <f>$K41*KTDB_TripDistribution_2045!T$12</f>
        <v>1704.1287833585793</v>
      </c>
      <c r="D100" s="201">
        <f>$K41*KTDB_TripDistribution_2045!U$12</f>
        <v>12333.128638733269</v>
      </c>
      <c r="E100" s="201">
        <f>$K41*KTDB_TripDistribution_2045!V$12</f>
        <v>707.52106294726491</v>
      </c>
      <c r="F100" s="201">
        <f>$K41*KTDB_TripDistribution_2045!W$12</f>
        <v>1.1118717594771077</v>
      </c>
      <c r="G100" s="201">
        <f>$K41*KTDB_TripDistribution_2045!X$12</f>
        <v>4.2004044246912926</v>
      </c>
      <c r="H100" s="201">
        <f>$K41*KTDB_TripDistribution_2045!Y$12</f>
        <v>14750.090761223282</v>
      </c>
      <c r="I100" t="b">
        <f>H100=$L$41</f>
        <v>1</v>
      </c>
      <c r="J100" s="230">
        <f>CR100</f>
        <v>14750.090761223282</v>
      </c>
      <c r="K100" s="206" t="s">
        <v>26</v>
      </c>
      <c r="L100" s="206" t="s">
        <v>26</v>
      </c>
      <c r="M100" s="206">
        <f>INDEX($A$87:$H$100,MATCH($L100,$B$87:$B$100,0),MATCH($M$86,$A$87:$H$87,0))*고양시_Modal_split!C$3 * 0.01</f>
        <v>4.7715605934040219</v>
      </c>
      <c r="N100" s="206">
        <f>INDEX($A$87:$H$100,MATCH($L100,$B$87:$B$100,0),MATCH($M$86,$A$87:$H$87,0))*고양시_Modal_split!D$3 * 0.01</f>
        <v>801.45176681353985</v>
      </c>
      <c r="O100" s="206">
        <f>INDEX($A$87:$H$100,MATCH($L100,$B$87:$B$100,0),MATCH($M$86,$A$87:$H$87,0))*고양시_Modal_split!E$3 * 0.01</f>
        <v>96.964927773103156</v>
      </c>
      <c r="P100" s="206">
        <f>INDEX($A$87:$H$100,MATCH($L100,$B$87:$B$100,0),MATCH($M$86,$A$87:$H$87,0))*고양시_Modal_split!F$3 * 0.01</f>
        <v>156.26860943398174</v>
      </c>
      <c r="Q100" s="206">
        <f>INDEX($A$87:$H$100,MATCH($L100,$B$87:$B$100,0),MATCH($M$86,$A$87:$H$87,0))*고양시_Modal_split!G$3 * 0.01</f>
        <v>15.677984806898928</v>
      </c>
      <c r="R100" s="206">
        <f>INDEX($A$87:$H$100,MATCH($L100,$B$87:$B$100,0),MATCH($M$86,$A$87:$H$87,0))*고양시_Modal_split!H$3 * 0.01</f>
        <v>0.17041287833585794</v>
      </c>
      <c r="S100" s="206">
        <f>INDEX($A$87:$H$100,MATCH($L100,$B$87:$B$100,0),MATCH($M$86,$A$87:$H$87,0))*고양시_Modal_split!I$3 * 0.01</f>
        <v>47.3747801773685</v>
      </c>
      <c r="T100" s="206">
        <f>INDEX($A$87:$H$100,MATCH($L100,$B$87:$B$100,0),MATCH($M$86,$A$87:$H$87,0))*고양시_Modal_split!J$3 * 0.01</f>
        <v>518.73680165435155</v>
      </c>
      <c r="U100" s="206">
        <f>INDEX($A$87:$H$100,MATCH($L100,$B$87:$B$100,0),MATCH($M$86,$A$87:$H$87,0))*고양시_Modal_split!K$3 * 0.01</f>
        <v>2.5561931750378686</v>
      </c>
      <c r="V100" s="206">
        <f>INDEX($A$87:$H$100,MATCH($L100,$B$87:$B$100,0),MATCH($M$86,$A$87:$H$87,0))*고양시_Modal_split!L$3 * 0.01</f>
        <v>51.4646892574291</v>
      </c>
      <c r="W100" s="206">
        <f>INDEX($A$87:$H$100,MATCH($L100,$B$87:$B$100,0),MATCH($M$86,$A$87:$H$87,0))*고양시_Modal_split!M$3 * 0.01</f>
        <v>3.9194962017247321</v>
      </c>
      <c r="X100" s="206">
        <f>INDEX($A$87:$H$100,MATCH($L100,$B$87:$B$100,0),MATCH($M$86,$A$87:$H$87,0))*고양시_Modal_split!N$3 * 0.01</f>
        <v>1.7041287833585796</v>
      </c>
      <c r="Y100" s="206">
        <f>INDEX($A$87:$H$100,MATCH($L100,$B$87:$B$100,0),MATCH($M$86,$A$87:$H$87,0))*고양시_Modal_split!O$3 * 0.01</f>
        <v>3.0674318100454427</v>
      </c>
      <c r="Z100" s="209">
        <f>INDEX($A$87:$H$100,MATCH($L100,$B$87:$B$100,0),MATCH($M$86,$A$87:$H$87,0))*고양시_Modal_split!P$3 * 0.01</f>
        <v>1704.1287833585793</v>
      </c>
      <c r="AA100" s="207">
        <f>INDEX($A$87:$H$100,MATCH($L100,$B$87:$B$100,0),MATCH($AA$86,$A$87:$H$87,0))*고양시_Modal_split!C$3 * 0.01</f>
        <v>34.532760188453146</v>
      </c>
      <c r="AB100" s="207">
        <f>INDEX($A$87:$H$100,MATCH($L100,$B$87:$B$100,0),MATCH($AA$86,$A$87:$H$87,0))*고양시_Modal_split!D$3 * 0.01</f>
        <v>5800.2703987962568</v>
      </c>
      <c r="AC100" s="207">
        <f>INDEX($A$87:$H$100,MATCH($L100,$B$87:$B$100,0),MATCH($AA$86,$A$87:$H$87,0))*고양시_Modal_split!E$3 * 0.01</f>
        <v>701.75501954392303</v>
      </c>
      <c r="AD100" s="207">
        <f>INDEX($A$87:$H$100,MATCH($L100,$B$87:$B$100,0),MATCH($AA$86,$A$87:$H$87,0))*고양시_Modal_split!F$3 * 0.01</f>
        <v>1130.947896171841</v>
      </c>
      <c r="AE100" s="207">
        <f>INDEX($A$87:$H$100,MATCH($L100,$B$87:$B$100,0),MATCH($AA$86,$A$87:$H$87,0))*고양시_Modal_split!G$3 * 0.01</f>
        <v>113.46478347634607</v>
      </c>
      <c r="AF100" s="207">
        <f>INDEX($A$87:$H$100,MATCH($L100,$B$87:$B$100,0),MATCH($AA$86,$A$87:$H$87,0))*고양시_Modal_split!H$3 * 0.01</f>
        <v>1.2333128638733271</v>
      </c>
      <c r="AG100" s="207">
        <f>INDEX($A$87:$H$100,MATCH($L100,$B$87:$B$100,0),MATCH($AA$86,$A$87:$H$87,0))*고양시_Modal_split!I$3 * 0.01</f>
        <v>342.86097615678489</v>
      </c>
      <c r="AH100" s="207">
        <f>INDEX($A$87:$H$100,MATCH($L100,$B$87:$B$100,0),MATCH($AA$86,$A$87:$H$87,0))*고양시_Modal_split!J$3 * 0.01</f>
        <v>3754.2043576304072</v>
      </c>
      <c r="AI100" s="207">
        <f>INDEX($A$87:$H$100,MATCH($L100,$B$87:$B$100,0),MATCH($AA$86,$A$87:$H$87,0))*고양시_Modal_split!K$3 * 0.01</f>
        <v>18.499692958099903</v>
      </c>
      <c r="AJ100" s="207">
        <f>INDEX($A$87:$H$100,MATCH($L100,$B$87:$B$100,0),MATCH($AA$86,$A$87:$H$87,0))*고양시_Modal_split!L$3 * 0.01</f>
        <v>372.46048488974475</v>
      </c>
      <c r="AK100" s="207">
        <f>INDEX($A$87:$H$100,MATCH($L100,$B$87:$B$100,0),MATCH($AA$86,$A$87:$H$87,0))*고양시_Modal_split!M$3 * 0.01</f>
        <v>28.366195869086518</v>
      </c>
      <c r="AL100" s="207">
        <f>INDEX($A$87:$H$100,MATCH($L100,$B$87:$B$100,0),MATCH($AA$86,$A$87:$H$87,0))*고양시_Modal_split!N$3 * 0.01</f>
        <v>12.333128638733269</v>
      </c>
      <c r="AM100" s="207">
        <f>INDEX($A$87:$H$100,MATCH($L100,$B$87:$B$100,0),MATCH($AA$86,$A$87:$H$87,0))*고양시_Modal_split!O$3 * 0.01</f>
        <v>22.199631549719886</v>
      </c>
      <c r="AN100" s="207">
        <f>INDEX($A$87:$H$100,MATCH($L100,$B$87:$B$100,0),MATCH($AA$86,$A$87:$H$87,0))*고양시_Modal_split!P$3 * 0.01</f>
        <v>12333.128638733269</v>
      </c>
      <c r="AO100" s="303">
        <f>INDEX($A$87:$H$100,MATCH($L100,$B$87:$B$100,0),MATCH($AO$86,$A$87:$H$87,0))*고양시_Modal_split!C$3 * 0.01</f>
        <v>1.9810589762523416</v>
      </c>
      <c r="AP100" s="303">
        <f>INDEX($A$87:$H$100,MATCH($L100,$B$87:$B$100,0),MATCH($AO$86,$A$87:$H$87,0))*고양시_Modal_split!D$3 * 0.01</f>
        <v>332.74715590409869</v>
      </c>
      <c r="AQ100" s="303">
        <f>INDEX($A$87:$H$100,MATCH($L100,$B$87:$B$100,0),MATCH($AO$86,$A$87:$H$87,0))*고양시_Modal_split!E$3 * 0.01</f>
        <v>40.257948481699366</v>
      </c>
      <c r="AR100" s="303">
        <f>INDEX($A$87:$H$100,MATCH($L100,$B$87:$B$100,0),MATCH($AO$86,$A$87:$H$87,0))*고양시_Modal_split!F$3 * 0.01</f>
        <v>64.879681472264195</v>
      </c>
      <c r="AS100" s="303">
        <f>INDEX($A$87:$H$100,MATCH($L100,$B$87:$B$100,0),MATCH($AO$86,$A$87:$H$87,0))*고양시_Modal_split!G$3 * 0.01</f>
        <v>6.5091937791148373</v>
      </c>
      <c r="AT100" s="303">
        <f>INDEX($A$87:$H$100,MATCH($L100,$B$87:$B$100,0),MATCH($AO$86,$A$87:$H$87,0))*고양시_Modal_split!H$3 * 0.01</f>
        <v>7.0752106294726488E-2</v>
      </c>
      <c r="AU100" s="303">
        <f>INDEX($A$87:$H$100,MATCH($L100,$B$87:$B$100,0),MATCH($AO$86,$A$87:$H$87,0))*고양시_Modal_split!I$3 * 0.01</f>
        <v>19.669085549933964</v>
      </c>
      <c r="AV100" s="303">
        <f>INDEX($A$87:$H$100,MATCH($L100,$B$87:$B$100,0),MATCH($AO$86,$A$87:$H$87,0))*고양시_Modal_split!J$3 * 0.01</f>
        <v>215.36941156114747</v>
      </c>
      <c r="AW100" s="303">
        <f>INDEX($A$87:$H$100,MATCH($L100,$B$87:$B$100,0),MATCH($AO$86,$A$87:$H$87,0))*고양시_Modal_split!K$3 * 0.01</f>
        <v>1.0612815944208973</v>
      </c>
      <c r="AX100" s="303">
        <f>INDEX($A$87:$H$100,MATCH($L100,$B$87:$B$100,0),MATCH($AO$86,$A$87:$H$87,0))*고양시_Modal_split!L$3 * 0.01</f>
        <v>21.3671361010074</v>
      </c>
      <c r="AY100" s="303">
        <f>INDEX($A$87:$H$100,MATCH($L100,$B$87:$B$100,0),MATCH($AO$86,$A$87:$H$87,0))*고양시_Modal_split!M$3 * 0.01</f>
        <v>1.6272984447787093</v>
      </c>
      <c r="AZ100" s="303">
        <f>INDEX($A$87:$H$100,MATCH($L100,$B$87:$B$100,0),MATCH($AO$86,$A$87:$H$87,0))*고양시_Modal_split!N$3 * 0.01</f>
        <v>0.70752106294726491</v>
      </c>
      <c r="BA100" s="207">
        <f>INDEX($A$87:$H$100,MATCH($L100,$B$87:$B$100,0),MATCH($AO$86,$A$87:$H$87,0))*고양시_Modal_split!O$3 * 0.01</f>
        <v>1.2735379133050768</v>
      </c>
      <c r="BB100" s="207">
        <f>INDEX($A$87:$H$100,MATCH($L100,$B$87:$B$100,0),MATCH($AO$86,$A$87:$H$87,0))*고양시_Modal_split!P$3 * 0.01</f>
        <v>707.52106294726491</v>
      </c>
      <c r="BC100" s="207">
        <f>INDEX($A$87:$H$100,MATCH($L100,$B$87:$B$100,0),MATCH($BC$86,$A$87:$H$87,0))*고양시_Modal_split!C$3 * 0.01</f>
        <v>3.1132409265359011E-3</v>
      </c>
      <c r="BD100" s="207">
        <f>INDEX($A$87:$H$100,MATCH($L100,$B$87:$B$100,0),MATCH($BC$86,$A$87:$H$87,0))*고양시_Modal_split!D$3 * 0.01</f>
        <v>0.52291328848208385</v>
      </c>
      <c r="BE100" s="207">
        <f>INDEX($A$87:$H$100,MATCH($L100,$B$87:$B$100,0),MATCH($BC$86,$A$87:$H$87,0))*고양시_Modal_split!E$3 * 0.01</f>
        <v>6.3265503114247418E-2</v>
      </c>
      <c r="BF100" s="207">
        <f>INDEX($A$87:$H$100,MATCH($L100,$B$87:$B$100,0),MATCH($BC$86,$A$87:$H$87,0))*고양시_Modal_split!F$3 * 0.01</f>
        <v>0.10195864034405078</v>
      </c>
      <c r="BG100" s="207">
        <f>INDEX($A$87:$H$100,MATCH($L100,$B$87:$B$100,0),MATCH($BC$86,$A$87:$H$87,0))*고양시_Modal_split!G$3 * 0.01</f>
        <v>1.022922018718939E-2</v>
      </c>
      <c r="BH100" s="207">
        <f>INDEX($A$87:$H$100,MATCH($L100,$B$87:$B$100,0),MATCH($BC$86,$A$87:$H$87,0))*고양시_Modal_split!H$3 * 0.01</f>
        <v>1.1118717594771078E-4</v>
      </c>
      <c r="BI100" s="207">
        <f>INDEX($A$87:$H$100,MATCH($L100,$B$87:$B$100,0),MATCH($BC$86,$A$87:$H$87,0))*고양시_Modal_split!I$3 * 0.01</f>
        <v>3.0910034913463592E-2</v>
      </c>
      <c r="BJ100" s="207">
        <f>INDEX($A$87:$H$100,MATCH($L100,$B$87:$B$100,0),MATCH($BC$86,$A$87:$H$87,0))*고양시_Modal_split!J$3 * 0.01</f>
        <v>0.33845376358483159</v>
      </c>
      <c r="BK100" s="207">
        <f>INDEX($A$87:$H$100,MATCH($L100,$B$87:$B$100,0),MATCH($BC$86,$A$87:$H$87,0))*고양시_Modal_split!K$3 * 0.01</f>
        <v>1.6678076392156616E-3</v>
      </c>
      <c r="BL100" s="207">
        <f>INDEX($A$87:$H$100,MATCH($L100,$B$87:$B$100,0),MATCH($BC$86,$A$87:$H$87,0))*고양시_Modal_split!L$3 * 0.01</f>
        <v>3.3578527136208652E-2</v>
      </c>
      <c r="BM100" s="207">
        <f>INDEX($A$87:$H$100,MATCH($L100,$B$87:$B$100,0),MATCH($BC$86,$A$87:$H$87,0))*고양시_Modal_split!M$3 * 0.01</f>
        <v>2.5573050467973474E-3</v>
      </c>
      <c r="BN100" s="207">
        <f>INDEX($A$87:$H$100,MATCH($L100,$B$87:$B$100,0),MATCH($BC$86,$A$87:$H$87,0))*고양시_Modal_split!N$3 * 0.01</f>
        <v>1.1118717594771077E-3</v>
      </c>
      <c r="BO100" s="207">
        <f>INDEX($A$87:$H$100,MATCH($L100,$B$87:$B$100,0),MATCH($BC$86,$A$87:$H$87,0))*고양시_Modal_split!O$3 * 0.01</f>
        <v>2.0013691670587937E-3</v>
      </c>
      <c r="BP100" s="207">
        <f>INDEX($A$87:$H$100,MATCH($L100,$B$87:$B$100,0),MATCH($BC$86,$A$87:$H$87,0))*고양시_Modal_split!P$3 * 0.01</f>
        <v>1.1118717594771077</v>
      </c>
      <c r="BQ100" s="207">
        <f>INDEX($A$87:$H$100,MATCH($L100,$B$87:$B$100,0),MATCH($BQ$86,$A$87:$H$87,0))*고양시_Modal_split!C$3 * 0.01</f>
        <v>1.1761132389135618E-2</v>
      </c>
      <c r="BR100" s="207">
        <f>INDEX($A$87:$H$100,MATCH($L100,$B$87:$B$100,0),MATCH($BQ$86,$A$87:$H$87,0))*고양시_Modal_split!D$3 * 0.01</f>
        <v>1.9754502009323149</v>
      </c>
      <c r="BS100" s="207">
        <f>INDEX($A$87:$H$100,MATCH($L100,$B$87:$B$100,0),MATCH($BQ$86,$A$87:$H$87,0))*고양시_Modal_split!E$3 * 0.01</f>
        <v>0.23900301176493455</v>
      </c>
      <c r="BT100" s="207">
        <f>INDEX($A$87:$H$100,MATCH($L100,$B$87:$B$100,0),MATCH($BQ$86,$A$87:$H$87,0))*고양시_Modal_split!F$3 * 0.01</f>
        <v>0.38517708574419152</v>
      </c>
      <c r="BU100" s="207">
        <f>INDEX($A$87:$H$100,MATCH($L100,$B$87:$B$100,0),MATCH($BQ$86,$A$87:$H$87,0))*고양시_Modal_split!G$3 * 0.01</f>
        <v>3.8643720707159893E-2</v>
      </c>
      <c r="BV100" s="207">
        <f>INDEX($A$87:$H$100,MATCH($L100,$B$87:$B$100,0),MATCH($BQ$86,$A$87:$H$87,0))*고양시_Modal_split!H$3 * 0.01</f>
        <v>4.2004044246912926E-4</v>
      </c>
      <c r="BW100" s="207">
        <f>INDEX($A$87:$H$100,MATCH($L100,$B$87:$B$100,0),MATCH($BQ$86,$A$87:$H$87,0))*고양시_Modal_split!I$3 * 0.01</f>
        <v>0.11677124300641793</v>
      </c>
      <c r="BX100" s="207">
        <f>INDEX($A$87:$H$100,MATCH($L100,$B$87:$B$100,0),MATCH($BQ$86,$A$87:$H$87,0))*고양시_Modal_split!J$3 * 0.01</f>
        <v>1.2786031068760295</v>
      </c>
      <c r="BY100" s="207">
        <f>INDEX($A$87:$H$100,MATCH($L100,$B$87:$B$100,0),MATCH($BQ$86,$A$87:$H$87,0))*고양시_Modal_split!K$3 * 0.01</f>
        <v>6.3006066370369382E-3</v>
      </c>
      <c r="BZ100" s="207">
        <f>INDEX($A$87:$H$100,MATCH($L100,$B$87:$B$100,0),MATCH($BQ$86,$A$87:$H$87,0))*고양시_Modal_split!L$3 * 0.01</f>
        <v>0.12685221362567706</v>
      </c>
      <c r="CA100" s="207">
        <f>INDEX($A$87:$H$100,MATCH($L100,$B$87:$B$100,0),MATCH($BQ$86,$A$87:$H$87,0))*고양시_Modal_split!M$3 * 0.01</f>
        <v>9.6609301767899732E-3</v>
      </c>
      <c r="CB100" s="207">
        <f>INDEX($A$87:$H$100,MATCH($L100,$B$87:$B$100,0),MATCH($BQ$86,$A$87:$H$87,0))*고양시_Modal_split!N$3 * 0.01</f>
        <v>4.200404424691293E-3</v>
      </c>
      <c r="CC100" s="207">
        <f>INDEX($A$87:$H$100,MATCH($L100,$B$87:$B$100,0),MATCH($BQ$86,$A$87:$H$87,0))*고양시_Modal_split!O$3 * 0.01</f>
        <v>7.5607279644443262E-3</v>
      </c>
      <c r="CD100" s="207">
        <f>INDEX($A$87:$H$100,MATCH($L100,$B$87:$B$100,0),MATCH($BQ$86,$A$87:$H$87,0))*고양시_Modal_split!P$3 * 0.01</f>
        <v>4.2004044246912926</v>
      </c>
      <c r="CE100" s="304">
        <f t="shared" si="69"/>
        <v>41.300254131425184</v>
      </c>
      <c r="CF100" s="304">
        <f t="shared" si="51"/>
        <v>6936.9676850033102</v>
      </c>
      <c r="CG100" s="304">
        <f t="shared" si="52"/>
        <v>839.2801643136047</v>
      </c>
      <c r="CH100" s="304">
        <f t="shared" si="53"/>
        <v>1352.5833228041749</v>
      </c>
      <c r="CI100" s="304">
        <f t="shared" si="54"/>
        <v>135.70083500325421</v>
      </c>
      <c r="CJ100" s="304">
        <f t="shared" si="55"/>
        <v>1.4750090761223282</v>
      </c>
      <c r="CK100" s="304">
        <f t="shared" si="56"/>
        <v>410.05252316200728</v>
      </c>
      <c r="CL100" s="304">
        <f t="shared" si="57"/>
        <v>4489.9276277163681</v>
      </c>
      <c r="CM100" s="304">
        <f t="shared" si="58"/>
        <v>22.125136141834922</v>
      </c>
      <c r="CN100" s="304">
        <f t="shared" si="59"/>
        <v>445.45274098894316</v>
      </c>
      <c r="CO100" s="304">
        <f t="shared" si="60"/>
        <v>33.925208750813553</v>
      </c>
      <c r="CP100" s="304">
        <f t="shared" si="61"/>
        <v>14.750090761223282</v>
      </c>
      <c r="CQ100" s="304">
        <f t="shared" si="62"/>
        <v>26.550163370201908</v>
      </c>
      <c r="CR100" s="304">
        <f t="shared" si="63"/>
        <v>14750.090761223282</v>
      </c>
      <c r="CS100" s="305">
        <f t="shared" si="70"/>
        <v>0</v>
      </c>
      <c r="CV100" s="267" t="s">
        <v>26</v>
      </c>
      <c r="CW100" s="267" t="s">
        <v>26</v>
      </c>
      <c r="CX100" s="267">
        <f>INDEX($M$86:$Z$100,MATCH($CW100,$L$86:$L$100,0),MATCH(CX$87,$M$87:$Z$87,0))/INDEX(고양시_재차인원!$D$4:$H$35,MATCH("고양시",고양시_재차인원!$B$4:$B$35,0),MATCH($CX$86,고양시_재차인원!$D$4:$H$4,0))</f>
        <v>715.58193465494628</v>
      </c>
      <c r="CY100" s="267">
        <f>INDEX($M$86:$Z$100,MATCH($CW100,$L$86:$L$100,0),MATCH(CY$87,$M$87:$Z$87,0))/INDEX(고양시_재차인원!$K$4:$O$20,MATCH("경기도",고양시_재차인원!$K$4:$K$20,0),MATCH($CY$87,고양시_재차인원!$K$4:$O$4,0))</f>
        <v>5.919169098154149E-3</v>
      </c>
      <c r="CZ100" s="267">
        <f>INDEX($M$86:$Z$100,MATCH($CW100,$L$86:$L$100,0),MATCH(CZ$87,$M$87:$Z$87,0))/INDEX(고양시_재차인원!$K$4:$O$20,MATCH("경기도",고양시_재차인원!$K$4:$K$20,0),MATCH($CZ$87,고양시_재차인원!$K$4:$O$4,0))</f>
        <v>1.6455290092868531</v>
      </c>
      <c r="DA100" s="267">
        <f>INDEX($M$86:$Z$100,MATCH($CW100,$L$86:$L$100,0),MATCH(DA$87,$M$87:$Z$87,0))/INDEX(고양시_재차인원!$D$4:$H$35,MATCH("고양시",고양시_재차인원!$B$4:$B$35,0),MATCH($CX$86,고양시_재차인원!$D$4:$H$4,0))</f>
        <v>45.950615408418834</v>
      </c>
      <c r="DB100" s="267">
        <f>INDEX($AA$86:$AN$100,MATCH($CW100,$L$86:$L$100,0),MATCH(DB$87,$AA$87:$AN$87,0))/INDEX(고양시_재차인원!$D$4:$H$35,MATCH("고양시",고양시_재차인원!$B$4:$B$35,0),MATCH($DB$86,고양시_재차인원!$D$4:$H$4,0))</f>
        <v>4113.6669495008919</v>
      </c>
      <c r="DC100" s="267">
        <f>INDEX($AA$86:$AN$100,MATCH($CW100,$L$86:$L$100,0),MATCH(DC$87,$AA$87:$AN$87,0))/INDEX(고양시_재차인원!$K$4:$O$20,MATCH("경기도",고양시_재차인원!$K$4:$K$20,0),MATCH(DC$87,고양시_재차인원!$K$4:$O$4,0))</f>
        <v>4.2838237717031158E-2</v>
      </c>
      <c r="DD100" s="267">
        <f>INDEX($AA$86:$AN$100,MATCH($CW100,$L$86:$L$100,0),MATCH(DD$87,$AA$87:$AN$87,0))/INDEX(고양시_재차인원!$K$4:$O$20,MATCH("경기도",고양시_재차인원!$K$4:$K$20,0),MATCH(DD$87,고양시_재차인원!$K$4:$O$4,0))</f>
        <v>11.909030085334662</v>
      </c>
      <c r="DE100" s="267">
        <f>INDEX($AA$86:$AN$100,MATCH($CW100,$L$86:$L$100,0),MATCH(DE$87,$AA$87:$AN$87,0))/INDEX(고양시_재차인원!$D$4:$H$35,MATCH("고양시",고양시_재차인원!$B$4:$B$35,0),MATCH($DB$86,고양시_재차인원!$D$4:$H$4,0))</f>
        <v>264.15637226223032</v>
      </c>
      <c r="DF100" s="267">
        <f>INDEX($AO$86:$BB$100,MATCH($CW100,$L$86:$L$100,0),MATCH(DF$87,$AO$87:$BB$87,0))/INDEX(고양시_재차인원!$D$4:$H$35,MATCH("고양시",고양시_재차인원!$B$4:$B$35,0),MATCH($DF$86,고양시_재차인원!$D$4:$H$4,0))</f>
        <v>255.95935069546053</v>
      </c>
      <c r="DG100" s="267">
        <f>INDEX($AO$86:$BB$100,MATCH($CW100,$L$86:$L$100,0),MATCH(DG$87,$AO$87:$BB$87,0))/INDEX(고양시_재차인원!$K$4:$O$20,MATCH("경기도",고양시_재차인원!$K$4:$K$20,0),MATCH(DG$87,고양시_재차인원!$K$4:$O$4,0))</f>
        <v>2.4575236642836572E-3</v>
      </c>
      <c r="DH100" s="267">
        <f>INDEX($AO$86:$BB$100,MATCH($CW100,$L$86:$L$100,0),MATCH(DH$87,$AO$87:$BB$87,0))/INDEX(고양시_재차인원!$K$4:$O$20,MATCH("경기도",고양시_재차인원!$K$4:$K$20,0),MATCH(DH$87,고양시_재차인원!$K$4:$O$4,0))</f>
        <v>0.68319157867085667</v>
      </c>
      <c r="DI100" s="267">
        <f>INDEX($AO$86:$BB$100,MATCH($CW100,$L$86:$L$100,0),MATCH(DI$87,$AO$87:$BB$87,0))/INDEX(고양시_재차인원!$D$4:$H$35,MATCH("고양시",고양시_재차인원!$B$4:$B$35,0),MATCH($DF$86,고양시_재차인원!$D$4:$H$4,0))</f>
        <v>16.436258539236462</v>
      </c>
      <c r="DJ100" s="267">
        <f>INDEX($BC$86:$BP$100,MATCH($CW100,$L$86:$L$100,0),MATCH(DJ$87,$BC$87:$BP$87,0))/INDEX(고양시_재차인원!$D$4:$H$35,MATCH("고양시",고양시_재차인원!$B$4:$B$35,0),MATCH($DJ$86,고양시_재차인원!$D$4:$H$4,0))</f>
        <v>0.38449506506035575</v>
      </c>
      <c r="DK100" s="267">
        <f>INDEX($BC$86:$BP$100,MATCH($CW100,$L$86:$L$100,0),MATCH(DK$87,$BC$87:$BP$87,0))/INDEX(고양시_재차인원!$K$4:$O$20,MATCH("경기도",고양시_재차인원!$K$4:$K$20,0),MATCH(DK$87,고양시_재차인원!$K$4:$O$4,0))</f>
        <v>3.862006806103188E-6</v>
      </c>
      <c r="DL100" s="267">
        <f>INDEX($BC$86:$BP$100,MATCH($CW100,$L$86:$L$100,0),MATCH(DL$87,$BC$87:$BP$87,0))/INDEX(고양시_재차인원!$K$4:$O$20,MATCH("경기도",고양시_재차인원!$K$4:$K$20,0),MATCH(DL$87,고양시_재차인원!$K$4:$O$4,0))</f>
        <v>1.0736378920966861E-3</v>
      </c>
      <c r="DM100" s="267">
        <f>INDEX($BC$86:$BP$100,MATCH($CW100,$L$86:$L$100,0),MATCH(DM$87,$BC$87:$BP$87,0))/INDEX(고양시_재차인원!$D$4:$H$35,MATCH("고양시",고양시_재차인원!$B$4:$B$35,0),MATCH($DJ$86,고양시_재차인원!$D$4:$H$4,0))</f>
        <v>2.4690093482506361E-2</v>
      </c>
      <c r="DN100" s="267">
        <f>INDEX($BQ$86:$CD$100,MATCH($CW100,$L$86:$L$100,0),MATCH(DN$87,$BQ$87:$CD$87,0))/INDEX(고양시_재차인원!$D$4:$H$35,MATCH("고양시",고양시_재차인원!$B$4:$B$35,0),MATCH($DN$86,고양시_재차인원!$D$4:$H$4,0))</f>
        <v>1.5678176197875515</v>
      </c>
      <c r="DO100" s="267">
        <f>INDEX($BQ$86:$CD$100,MATCH($CW100,$L$86:$L$100,0),MATCH(DO$87,$BQ$87:$CD$87,0))/INDEX(고양시_재차인원!$K$4:$O$20,MATCH("경기도",고양시_재차인원!$K$4:$K$20,0),MATCH(DO$87,고양시_재차인원!$K$4:$O$4,0))</f>
        <v>1.4589803489723142E-5</v>
      </c>
      <c r="DP100" s="267">
        <f>INDEX($BQ$86:$CD$100,MATCH($CW100,$L$86:$L$100,0),MATCH(DP$87,$BQ$87:$CD$87,0))/INDEX(고양시_재차인원!$K$4:$O$20,MATCH("경기도",고양시_재차인원!$K$4:$K$20,0),MATCH(DP$87,고양시_재차인원!$K$4:$O$4,0))</f>
        <v>4.0559653701430333E-3</v>
      </c>
      <c r="DQ100" s="267">
        <f>INDEX($BQ$86:$CD$100,MATCH($CW100,$L$86:$L$100,0),MATCH(DQ$87,$BQ$87:$CD$87,0))/INDEX(고양시_재차인원!$D$4:$H$35,MATCH("고양시",고양시_재차인원!$B$4:$B$35,0),MATCH($DN$86,고양시_재차인원!$D$4:$H$4,0))</f>
        <v>0.10067636002037862</v>
      </c>
      <c r="DR100" s="270">
        <f t="shared" si="71"/>
        <v>5087.1605475361466</v>
      </c>
      <c r="DS100" s="270">
        <f t="shared" si="64"/>
        <v>5.1233382289764789E-2</v>
      </c>
      <c r="DT100" s="270">
        <f t="shared" si="65"/>
        <v>14.24288027655461</v>
      </c>
      <c r="DU100" s="270">
        <f t="shared" si="66"/>
        <v>326.6686126633885</v>
      </c>
      <c r="DW100" s="278" t="s">
        <v>26</v>
      </c>
      <c r="DX100" s="278" t="s">
        <v>26</v>
      </c>
      <c r="DY100" s="281">
        <f t="shared" si="72"/>
        <v>5413.8291601995352</v>
      </c>
      <c r="DZ100" s="281">
        <f t="shared" si="73"/>
        <v>14.294113658844374</v>
      </c>
      <c r="ED100" s="230" t="b">
        <f>SUM(ED88:ED98)=ED99</f>
        <v>1</v>
      </c>
      <c r="EE100" s="230" t="b">
        <f>SUM(EE88:EE98)=EE99</f>
        <v>1</v>
      </c>
      <c r="EK100" s="420" t="s">
        <v>169</v>
      </c>
      <c r="EL100" s="420" t="s">
        <v>169</v>
      </c>
      <c r="EM100" s="420" t="s">
        <v>575</v>
      </c>
      <c r="EN100" s="420">
        <v>5756.5210999999999</v>
      </c>
      <c r="EO100" s="420">
        <v>0.34334776653141269</v>
      </c>
      <c r="EP100" s="421">
        <v>849013</v>
      </c>
      <c r="EQ100" s="422">
        <f t="shared" si="75"/>
        <v>126.36098043242141</v>
      </c>
      <c r="ER100" s="422">
        <f t="shared" si="76"/>
        <v>0.33363044213191806</v>
      </c>
      <c r="ES100">
        <v>0</v>
      </c>
      <c r="EU100" s="306" t="s">
        <v>169</v>
      </c>
      <c r="EV100" s="306" t="s">
        <v>169</v>
      </c>
      <c r="EW100" s="306" t="s">
        <v>575</v>
      </c>
      <c r="EX100" s="306">
        <v>5756.5210999999999</v>
      </c>
      <c r="EY100" s="306">
        <v>0.34334776653141269</v>
      </c>
      <c r="EZ100" s="307">
        <v>849013</v>
      </c>
      <c r="FA100" s="308">
        <f t="shared" si="77"/>
        <v>126.36098043242141</v>
      </c>
      <c r="FB100" s="308">
        <f t="shared" si="68"/>
        <v>0.33363044213191806</v>
      </c>
      <c r="FD100" s="101"/>
      <c r="FE100" s="101"/>
      <c r="FF100" s="101"/>
      <c r="FG100" s="101"/>
      <c r="FH100" s="101"/>
      <c r="FI100" s="374"/>
      <c r="FJ100" s="404"/>
      <c r="FK100" s="404"/>
    </row>
    <row r="101" spans="1:167">
      <c r="C101" s="56">
        <f t="shared" ref="C101:H101" si="82">SUM(C88:C99)-C100</f>
        <v>0</v>
      </c>
      <c r="D101" s="56">
        <f t="shared" si="82"/>
        <v>0</v>
      </c>
      <c r="E101" s="56">
        <f t="shared" si="82"/>
        <v>0</v>
      </c>
      <c r="F101" s="56">
        <f t="shared" si="82"/>
        <v>0</v>
      </c>
      <c r="G101" s="56">
        <f t="shared" si="82"/>
        <v>0</v>
      </c>
      <c r="H101" s="56">
        <f t="shared" si="82"/>
        <v>0</v>
      </c>
      <c r="I101" s="56"/>
      <c r="J101" s="56"/>
      <c r="K101" s="56"/>
      <c r="L101" s="56"/>
      <c r="M101" s="56"/>
      <c r="P101" s="56"/>
      <c r="Q101" s="56"/>
      <c r="R101" s="56"/>
      <c r="S101" s="56"/>
      <c r="T101" s="301"/>
      <c r="U101" s="301"/>
      <c r="V101" s="302"/>
      <c r="W101" s="56"/>
      <c r="X101" s="56"/>
      <c r="EK101" s="420" t="s">
        <v>169</v>
      </c>
      <c r="EL101" s="420" t="s">
        <v>169</v>
      </c>
      <c r="EM101" s="420" t="s">
        <v>576</v>
      </c>
      <c r="EN101" s="420">
        <v>5584.9350000000004</v>
      </c>
      <c r="EO101" s="420">
        <v>0.33311351164388425</v>
      </c>
      <c r="EP101" s="421">
        <v>849014</v>
      </c>
      <c r="EQ101" s="422">
        <f t="shared" si="75"/>
        <v>122.59450629849087</v>
      </c>
      <c r="ER101" s="422">
        <f t="shared" si="76"/>
        <v>0.32368583402361256</v>
      </c>
      <c r="ES101">
        <v>0</v>
      </c>
      <c r="EU101" s="306" t="s">
        <v>169</v>
      </c>
      <c r="EV101" s="306" t="s">
        <v>169</v>
      </c>
      <c r="EW101" s="306" t="s">
        <v>576</v>
      </c>
      <c r="EX101" s="306">
        <v>5584.9350000000004</v>
      </c>
      <c r="EY101" s="306">
        <v>0.33311351164388425</v>
      </c>
      <c r="EZ101" s="307">
        <v>849014</v>
      </c>
      <c r="FA101" s="308">
        <f t="shared" si="77"/>
        <v>122.59450629849087</v>
      </c>
      <c r="FB101" s="308">
        <f t="shared" si="68"/>
        <v>0.32368583402361256</v>
      </c>
      <c r="FD101" s="101"/>
      <c r="FE101" s="101"/>
      <c r="FF101" s="101"/>
      <c r="FG101" s="101"/>
      <c r="FH101" s="101"/>
      <c r="FI101" s="374"/>
      <c r="FJ101" s="404"/>
      <c r="FK101" s="404"/>
    </row>
    <row r="102" spans="1:167">
      <c r="C102" s="56"/>
      <c r="D102" s="56"/>
      <c r="E102" s="56"/>
      <c r="F102" s="56"/>
      <c r="G102" s="56"/>
      <c r="H102" s="56"/>
      <c r="I102" s="56"/>
      <c r="J102" s="56"/>
      <c r="K102" s="56"/>
      <c r="L102" s="56"/>
      <c r="M102" s="56"/>
      <c r="P102" s="56"/>
      <c r="Q102" s="56"/>
      <c r="R102" s="56"/>
      <c r="S102" s="56"/>
      <c r="T102" s="301"/>
      <c r="U102" s="301"/>
      <c r="V102" s="302"/>
      <c r="W102" s="56"/>
      <c r="X102" s="56"/>
      <c r="EK102" s="420" t="s">
        <v>169</v>
      </c>
      <c r="EL102" s="420" t="s">
        <v>169</v>
      </c>
      <c r="EM102" s="420" t="s">
        <v>382</v>
      </c>
      <c r="EN102" s="420">
        <v>5424.4053999999996</v>
      </c>
      <c r="EO102" s="420">
        <v>0.32353872182470311</v>
      </c>
      <c r="EP102" s="421">
        <v>849015</v>
      </c>
      <c r="EQ102" s="422">
        <f t="shared" si="75"/>
        <v>119.07073260044527</v>
      </c>
      <c r="ER102" s="422">
        <f t="shared" si="76"/>
        <v>0.31438202700321266</v>
      </c>
      <c r="ES102">
        <v>0</v>
      </c>
      <c r="EU102" s="306" t="s">
        <v>169</v>
      </c>
      <c r="EV102" s="306" t="s">
        <v>169</v>
      </c>
      <c r="EW102" s="306" t="s">
        <v>382</v>
      </c>
      <c r="EX102" s="306">
        <v>5424.4053999999996</v>
      </c>
      <c r="EY102" s="306">
        <v>0.32353872182470311</v>
      </c>
      <c r="EZ102" s="307">
        <v>849015</v>
      </c>
      <c r="FA102" s="308">
        <f t="shared" si="77"/>
        <v>119.07073260044527</v>
      </c>
      <c r="FB102" s="308">
        <f t="shared" si="68"/>
        <v>0.31438202700321266</v>
      </c>
      <c r="FD102" s="101"/>
      <c r="FE102" s="101"/>
      <c r="FF102" s="101"/>
      <c r="FG102" s="101"/>
      <c r="FH102" s="101"/>
      <c r="FI102" s="374"/>
      <c r="FJ102" s="404"/>
      <c r="FK102" s="404"/>
    </row>
    <row r="103" spans="1:167">
      <c r="C103" s="56"/>
      <c r="D103" s="56"/>
      <c r="E103" s="56"/>
      <c r="F103" s="56"/>
      <c r="G103" s="56"/>
      <c r="H103" s="56"/>
      <c r="I103" s="56"/>
      <c r="J103" s="56"/>
      <c r="K103" s="56"/>
      <c r="L103" s="56"/>
      <c r="M103" s="56"/>
      <c r="P103" s="56"/>
      <c r="Q103" s="56"/>
      <c r="R103" s="56"/>
      <c r="S103" s="56"/>
      <c r="T103" s="301"/>
      <c r="U103" s="301"/>
      <c r="V103" s="302"/>
      <c r="W103" s="56"/>
      <c r="X103" s="56"/>
      <c r="EK103" s="420" t="s">
        <v>170</v>
      </c>
      <c r="EL103" s="420" t="s">
        <v>170</v>
      </c>
      <c r="EM103" s="420" t="s">
        <v>577</v>
      </c>
      <c r="EN103" s="420">
        <v>28051.338899999999</v>
      </c>
      <c r="EO103" s="420">
        <v>1</v>
      </c>
      <c r="EP103" s="421">
        <v>849016</v>
      </c>
      <c r="EQ103" s="422">
        <f t="shared" si="75"/>
        <v>304.37905568183737</v>
      </c>
      <c r="ER103" s="422">
        <f t="shared" si="76"/>
        <v>0.80365092590538045</v>
      </c>
      <c r="ES103">
        <v>0</v>
      </c>
      <c r="EU103" s="306" t="s">
        <v>170</v>
      </c>
      <c r="EV103" s="306" t="s">
        <v>170</v>
      </c>
      <c r="EW103" s="306" t="s">
        <v>577</v>
      </c>
      <c r="EX103" s="306">
        <v>28051.338899999999</v>
      </c>
      <c r="EY103" s="306">
        <v>1</v>
      </c>
      <c r="EZ103" s="307">
        <v>849016</v>
      </c>
      <c r="FA103" s="308">
        <f t="shared" si="77"/>
        <v>304.37905568183737</v>
      </c>
      <c r="FB103" s="308">
        <f t="shared" si="68"/>
        <v>0.80365092590538045</v>
      </c>
      <c r="FD103" s="101"/>
      <c r="FE103" s="101"/>
      <c r="FF103" s="101"/>
      <c r="FG103" s="101"/>
      <c r="FH103" s="101"/>
      <c r="FI103" s="374"/>
      <c r="FJ103" s="404"/>
      <c r="FK103" s="404"/>
    </row>
    <row r="104" spans="1:167">
      <c r="C104" s="56"/>
      <c r="D104" s="56"/>
      <c r="E104" s="56"/>
      <c r="F104" s="56"/>
      <c r="G104" s="56"/>
      <c r="H104" s="56"/>
      <c r="I104" s="56"/>
      <c r="J104" s="56"/>
      <c r="K104" s="56"/>
      <c r="L104" s="56"/>
      <c r="M104" s="56"/>
      <c r="P104" s="56"/>
      <c r="Q104" s="56"/>
      <c r="R104" s="56"/>
      <c r="S104" s="56"/>
      <c r="T104" s="301"/>
      <c r="U104" s="301"/>
      <c r="V104" s="302"/>
      <c r="W104" s="56"/>
      <c r="X104" s="56"/>
      <c r="EK104" s="420" t="s">
        <v>171</v>
      </c>
      <c r="EL104" s="420" t="s">
        <v>171</v>
      </c>
      <c r="EM104" s="420" t="s">
        <v>579</v>
      </c>
      <c r="EN104" s="420">
        <v>15650.840399999999</v>
      </c>
      <c r="EO104" s="420">
        <v>0.80490868986400721</v>
      </c>
      <c r="EP104" s="421">
        <v>849017</v>
      </c>
      <c r="EQ104" s="422">
        <f t="shared" si="75"/>
        <v>9.8397936290350341</v>
      </c>
      <c r="ER104" s="422">
        <f t="shared" si="76"/>
        <v>2.5979971726299469E-2</v>
      </c>
      <c r="ES104">
        <v>0</v>
      </c>
      <c r="EU104" s="306" t="s">
        <v>171</v>
      </c>
      <c r="EV104" s="306" t="s">
        <v>171</v>
      </c>
      <c r="EW104" s="306" t="s">
        <v>579</v>
      </c>
      <c r="EX104" s="306">
        <v>15650.840399999999</v>
      </c>
      <c r="EY104" s="306">
        <v>0.80490868986400721</v>
      </c>
      <c r="EZ104" s="307">
        <v>849017</v>
      </c>
      <c r="FA104" s="308">
        <f t="shared" si="77"/>
        <v>9.8397936290350341</v>
      </c>
      <c r="FB104" s="308">
        <f t="shared" si="68"/>
        <v>2.5979971726299469E-2</v>
      </c>
      <c r="FD104" s="101"/>
      <c r="FE104" s="101"/>
      <c r="FF104" s="101"/>
      <c r="FG104" s="101"/>
      <c r="FH104" s="101"/>
      <c r="FI104" s="374"/>
      <c r="FJ104" s="404"/>
      <c r="FK104" s="404"/>
    </row>
    <row r="105" spans="1:167">
      <c r="C105" s="56"/>
      <c r="D105" s="56"/>
      <c r="E105" s="56"/>
      <c r="F105" s="56"/>
      <c r="G105" s="56"/>
      <c r="H105" s="56"/>
      <c r="I105" s="56"/>
      <c r="J105" s="56"/>
      <c r="K105" s="56"/>
      <c r="L105" s="56"/>
      <c r="M105" s="56"/>
      <c r="P105" s="56"/>
      <c r="Q105" s="56"/>
      <c r="R105" s="56"/>
      <c r="S105" s="56"/>
      <c r="T105" s="301"/>
      <c r="U105" s="301"/>
      <c r="V105" s="302"/>
      <c r="W105" s="56"/>
      <c r="X105" s="56"/>
      <c r="EK105" s="420" t="s">
        <v>171</v>
      </c>
      <c r="EL105" s="420" t="s">
        <v>171</v>
      </c>
      <c r="EM105" s="420" t="s">
        <v>580</v>
      </c>
      <c r="EN105" s="420">
        <v>3793.4029</v>
      </c>
      <c r="EO105" s="420">
        <v>0.19509131013599282</v>
      </c>
      <c r="EP105" s="421">
        <v>849018</v>
      </c>
      <c r="EQ105" s="422">
        <f t="shared" si="75"/>
        <v>2.384939130027997</v>
      </c>
      <c r="ER105" s="422">
        <f t="shared" si="76"/>
        <v>6.2969462067009787E-3</v>
      </c>
      <c r="ES105">
        <v>0</v>
      </c>
      <c r="EU105" s="306" t="s">
        <v>171</v>
      </c>
      <c r="EV105" s="306" t="s">
        <v>171</v>
      </c>
      <c r="EW105" s="306" t="s">
        <v>580</v>
      </c>
      <c r="EX105" s="306">
        <v>3793.4029</v>
      </c>
      <c r="EY105" s="306">
        <v>0.19509131013599282</v>
      </c>
      <c r="EZ105" s="307">
        <v>849018</v>
      </c>
      <c r="FA105" s="308">
        <f t="shared" si="77"/>
        <v>2.384939130027997</v>
      </c>
      <c r="FB105" s="308">
        <f t="shared" si="68"/>
        <v>6.2969462067009787E-3</v>
      </c>
      <c r="FD105" s="101"/>
      <c r="FE105" s="101"/>
      <c r="FF105" s="101"/>
      <c r="FG105" s="101"/>
      <c r="FH105" s="101"/>
      <c r="FI105" s="374"/>
      <c r="FJ105" s="404"/>
      <c r="FK105" s="404"/>
    </row>
    <row r="106" spans="1:167">
      <c r="C106" s="56"/>
      <c r="D106" s="56"/>
      <c r="E106" s="56"/>
      <c r="F106" s="56"/>
      <c r="G106" s="56"/>
      <c r="H106" s="56"/>
      <c r="I106" s="56"/>
      <c r="J106" s="56"/>
      <c r="K106" s="56"/>
      <c r="L106" s="56"/>
      <c r="M106" s="56"/>
      <c r="P106" s="56"/>
      <c r="Q106" s="56"/>
      <c r="R106" s="56"/>
      <c r="S106" s="56"/>
      <c r="T106" s="301"/>
      <c r="U106" s="301"/>
      <c r="V106" s="302"/>
      <c r="W106" s="56"/>
      <c r="X106" s="56"/>
      <c r="EK106" s="420" t="s">
        <v>13</v>
      </c>
      <c r="EL106" s="420" t="s">
        <v>13</v>
      </c>
      <c r="EM106" s="420" t="s">
        <v>582</v>
      </c>
      <c r="EN106" s="420">
        <v>2617.3850000000002</v>
      </c>
      <c r="EO106" s="420">
        <v>0.44699524620375919</v>
      </c>
      <c r="EP106" s="421">
        <v>849019</v>
      </c>
      <c r="EQ106" s="422">
        <f t="shared" si="75"/>
        <v>42.845843480621042</v>
      </c>
      <c r="ER106" s="422">
        <f t="shared" si="76"/>
        <v>0.11312572643102776</v>
      </c>
      <c r="ES106">
        <v>0</v>
      </c>
      <c r="EU106" s="306" t="s">
        <v>13</v>
      </c>
      <c r="EV106" s="306" t="s">
        <v>13</v>
      </c>
      <c r="EW106" s="306" t="s">
        <v>582</v>
      </c>
      <c r="EX106" s="306">
        <v>2617.3850000000002</v>
      </c>
      <c r="EY106" s="306">
        <v>0.44699524620375919</v>
      </c>
      <c r="EZ106" s="307">
        <v>849019</v>
      </c>
      <c r="FA106" s="308">
        <f t="shared" si="77"/>
        <v>42.845843480621042</v>
      </c>
      <c r="FB106" s="308">
        <f t="shared" si="68"/>
        <v>0.11312572643102776</v>
      </c>
      <c r="FD106" s="101"/>
      <c r="FE106" s="101"/>
      <c r="FF106" s="101"/>
      <c r="FG106" s="101"/>
      <c r="FH106" s="101"/>
      <c r="FI106" s="374"/>
      <c r="FJ106" s="404"/>
      <c r="FK106" s="404"/>
    </row>
    <row r="107" spans="1:167">
      <c r="C107" s="56"/>
      <c r="D107" s="56"/>
      <c r="E107" s="56"/>
      <c r="F107" s="56"/>
      <c r="G107" s="56"/>
      <c r="H107" s="56"/>
      <c r="I107" s="56"/>
      <c r="J107" s="56"/>
      <c r="K107" s="56"/>
      <c r="L107" s="56"/>
      <c r="M107" s="56"/>
      <c r="P107" s="56"/>
      <c r="Q107" s="56"/>
      <c r="R107" s="56"/>
      <c r="S107" s="56"/>
      <c r="T107" s="301"/>
      <c r="U107" s="301"/>
      <c r="V107" s="302"/>
      <c r="W107" s="56"/>
      <c r="X107" s="56"/>
      <c r="EK107" s="420" t="s">
        <v>13</v>
      </c>
      <c r="EL107" s="420" t="s">
        <v>13</v>
      </c>
      <c r="EM107" s="420" t="s">
        <v>583</v>
      </c>
      <c r="EN107" s="420">
        <v>3238.1246999999998</v>
      </c>
      <c r="EO107" s="420">
        <v>0.5530047537962407</v>
      </c>
      <c r="EP107" s="421">
        <v>849020</v>
      </c>
      <c r="EQ107" s="422">
        <f t="shared" si="75"/>
        <v>53.00717474385042</v>
      </c>
      <c r="ER107" s="422">
        <f t="shared" si="76"/>
        <v>0.13995465281636205</v>
      </c>
      <c r="ES107">
        <v>0</v>
      </c>
      <c r="EU107" s="306" t="s">
        <v>13</v>
      </c>
      <c r="EV107" s="306" t="s">
        <v>13</v>
      </c>
      <c r="EW107" s="306" t="s">
        <v>583</v>
      </c>
      <c r="EX107" s="306">
        <v>3238.1246999999998</v>
      </c>
      <c r="EY107" s="306">
        <v>0.5530047537962407</v>
      </c>
      <c r="EZ107" s="307">
        <v>849020</v>
      </c>
      <c r="FA107" s="308">
        <f t="shared" si="77"/>
        <v>53.00717474385042</v>
      </c>
      <c r="FB107" s="308">
        <f t="shared" si="68"/>
        <v>0.13995465281636205</v>
      </c>
      <c r="FD107" s="101"/>
      <c r="FE107" s="101"/>
      <c r="FF107" s="101"/>
      <c r="FG107" s="101"/>
      <c r="FH107" s="101"/>
      <c r="FI107" s="374"/>
      <c r="FJ107" s="404"/>
      <c r="FK107" s="404"/>
    </row>
    <row r="108" spans="1:167">
      <c r="C108" s="56"/>
      <c r="D108" s="56"/>
      <c r="E108" s="56"/>
      <c r="F108" s="56"/>
      <c r="G108" s="56"/>
      <c r="H108" s="56"/>
      <c r="I108" s="56"/>
      <c r="J108" s="56"/>
      <c r="K108" s="56"/>
      <c r="L108" s="56"/>
      <c r="M108" s="56"/>
      <c r="P108" s="56"/>
      <c r="Q108" s="56"/>
      <c r="R108" s="56"/>
      <c r="S108" s="56"/>
      <c r="T108" s="301"/>
      <c r="U108" s="301"/>
      <c r="V108" s="302"/>
      <c r="W108" s="56"/>
      <c r="X108" s="56"/>
      <c r="EQ108" s="310">
        <f>SUM(EQ88:EQ107)</f>
        <v>5259.5350291338482</v>
      </c>
      <c r="ER108" s="310">
        <f>SUM(ER88:ER107)</f>
        <v>13.88673141956731</v>
      </c>
      <c r="FA108" s="310"/>
      <c r="FB108" s="310"/>
      <c r="FJ108" s="310"/>
      <c r="FK108" s="310"/>
    </row>
    <row r="109" spans="1:167">
      <c r="C109" s="56"/>
      <c r="D109" s="56"/>
      <c r="E109" s="56"/>
      <c r="F109" s="56"/>
      <c r="G109" s="56"/>
      <c r="H109" s="56"/>
      <c r="I109" s="56"/>
      <c r="J109" s="56"/>
      <c r="K109" s="56"/>
      <c r="L109" s="56"/>
      <c r="M109" s="56"/>
      <c r="P109" s="56"/>
      <c r="Q109" s="56"/>
      <c r="R109" s="56"/>
      <c r="S109" s="56"/>
      <c r="T109" s="301"/>
      <c r="U109" s="301"/>
      <c r="V109" s="302"/>
      <c r="W109" s="56"/>
      <c r="X109" s="56"/>
    </row>
    <row r="110" spans="1:167">
      <c r="C110" s="56"/>
      <c r="D110" s="56"/>
      <c r="E110" s="56"/>
      <c r="F110" s="56"/>
      <c r="G110" s="56"/>
      <c r="H110" s="56"/>
      <c r="I110" s="56"/>
      <c r="J110" s="56"/>
      <c r="K110" s="56"/>
      <c r="L110" s="56"/>
      <c r="M110" s="56"/>
      <c r="P110" s="56"/>
      <c r="Q110" s="56"/>
      <c r="R110" s="56"/>
      <c r="S110" s="56"/>
      <c r="T110" s="301"/>
      <c r="U110" s="301"/>
      <c r="V110" s="302"/>
      <c r="W110" s="56"/>
      <c r="X110" s="56"/>
    </row>
    <row r="111" spans="1:167">
      <c r="C111" s="56"/>
      <c r="D111" s="56"/>
      <c r="E111" s="56"/>
      <c r="F111" s="56"/>
      <c r="G111" s="56"/>
      <c r="H111" s="56"/>
      <c r="I111" s="56"/>
      <c r="J111" s="56"/>
      <c r="K111" s="56"/>
      <c r="L111" s="56"/>
      <c r="M111" s="56"/>
      <c r="P111" s="56"/>
      <c r="Q111" s="56"/>
      <c r="R111" s="56"/>
      <c r="S111" s="56"/>
      <c r="T111" s="301"/>
      <c r="U111" s="301"/>
      <c r="V111" s="302"/>
      <c r="W111" s="56"/>
      <c r="X111" s="56"/>
    </row>
    <row r="112" spans="1:167">
      <c r="C112" s="56"/>
      <c r="D112" s="56"/>
      <c r="E112" s="56"/>
      <c r="F112" s="56"/>
      <c r="G112" s="56"/>
      <c r="H112" s="56"/>
      <c r="I112" s="56"/>
      <c r="J112" s="56"/>
      <c r="K112" s="56"/>
      <c r="L112" s="56"/>
      <c r="M112" s="56"/>
      <c r="P112" s="56"/>
      <c r="Q112" s="56"/>
      <c r="R112" s="56"/>
      <c r="S112" s="56"/>
      <c r="T112" s="301"/>
      <c r="U112" s="301"/>
      <c r="V112" s="302"/>
      <c r="W112" s="56"/>
      <c r="X112" s="56"/>
    </row>
    <row r="113" spans="1:40">
      <c r="C113" s="56"/>
      <c r="D113" s="56"/>
      <c r="E113" s="56"/>
      <c r="F113" s="56"/>
      <c r="G113" s="56"/>
      <c r="H113" s="56"/>
      <c r="I113" s="56"/>
      <c r="J113" s="56"/>
      <c r="K113" s="56"/>
      <c r="L113" s="56"/>
      <c r="M113" s="56"/>
      <c r="P113" s="56"/>
      <c r="Q113" s="56"/>
      <c r="R113" s="56"/>
      <c r="S113" s="56"/>
      <c r="T113" s="301"/>
      <c r="U113" s="301"/>
      <c r="V113" s="302"/>
      <c r="W113" s="56"/>
      <c r="X113" s="56"/>
    </row>
    <row r="114" spans="1:40">
      <c r="C114" s="56"/>
      <c r="D114" s="56"/>
      <c r="E114" s="56"/>
      <c r="F114" s="56"/>
      <c r="G114" s="56"/>
      <c r="H114" s="56"/>
      <c r="I114" s="56"/>
      <c r="J114" s="56"/>
      <c r="K114" s="56"/>
      <c r="L114" s="56"/>
      <c r="M114" s="56"/>
      <c r="P114" s="56"/>
      <c r="Q114" s="56"/>
      <c r="R114" s="56"/>
      <c r="S114" s="56"/>
      <c r="T114" s="301"/>
      <c r="U114" s="301"/>
      <c r="V114" s="302"/>
      <c r="W114" s="56"/>
      <c r="X114" s="56"/>
    </row>
    <row r="116" spans="1:40">
      <c r="A116" t="s">
        <v>203</v>
      </c>
      <c r="L116" s="65" t="s">
        <v>204</v>
      </c>
    </row>
    <row r="117" spans="1:40">
      <c r="C117" s="550" t="s">
        <v>156</v>
      </c>
      <c r="D117" s="551"/>
      <c r="E117" s="550" t="s">
        <v>157</v>
      </c>
      <c r="F117" s="551"/>
      <c r="G117" s="550" t="s">
        <v>158</v>
      </c>
      <c r="H117" s="551"/>
      <c r="I117" s="550" t="s">
        <v>159</v>
      </c>
      <c r="J117" s="551"/>
      <c r="K117" s="550" t="s">
        <v>160</v>
      </c>
      <c r="L117" s="552"/>
      <c r="M117" s="552"/>
      <c r="P117" s="534" t="s">
        <v>156</v>
      </c>
      <c r="Q117" s="534"/>
      <c r="R117" s="534" t="s">
        <v>174</v>
      </c>
      <c r="S117" s="534"/>
      <c r="T117" s="550" t="s">
        <v>158</v>
      </c>
      <c r="U117" s="551"/>
      <c r="V117" s="534" t="s">
        <v>160</v>
      </c>
      <c r="W117" s="534"/>
      <c r="X117" s="534"/>
    </row>
    <row r="118" spans="1:40">
      <c r="A118" t="s">
        <v>205</v>
      </c>
      <c r="C118" s="66" t="s">
        <v>40</v>
      </c>
      <c r="D118" s="66" t="s">
        <v>41</v>
      </c>
      <c r="E118" s="66" t="s">
        <v>40</v>
      </c>
      <c r="F118" s="66" t="s">
        <v>41</v>
      </c>
      <c r="G118" s="66" t="s">
        <v>40</v>
      </c>
      <c r="H118" s="66" t="s">
        <v>41</v>
      </c>
      <c r="I118" s="66" t="s">
        <v>40</v>
      </c>
      <c r="J118" s="66" t="s">
        <v>41</v>
      </c>
      <c r="K118" s="66" t="s">
        <v>40</v>
      </c>
      <c r="L118" s="66" t="s">
        <v>41</v>
      </c>
      <c r="M118" s="67" t="s">
        <v>21</v>
      </c>
      <c r="P118" s="276" t="s">
        <v>40</v>
      </c>
      <c r="Q118" s="276" t="s">
        <v>41</v>
      </c>
      <c r="R118" s="276" t="s">
        <v>40</v>
      </c>
      <c r="S118" s="276" t="s">
        <v>41</v>
      </c>
      <c r="T118" s="66" t="s">
        <v>40</v>
      </c>
      <c r="U118" s="66" t="s">
        <v>41</v>
      </c>
      <c r="V118" s="276" t="s">
        <v>40</v>
      </c>
      <c r="W118" s="276" t="s">
        <v>41</v>
      </c>
      <c r="X118" s="276" t="s">
        <v>21</v>
      </c>
    </row>
    <row r="119" spans="1:40">
      <c r="A119" t="s">
        <v>136</v>
      </c>
      <c r="C119" s="68">
        <v>1113</v>
      </c>
      <c r="D119" s="68">
        <v>1113</v>
      </c>
      <c r="E119" s="69">
        <v>149</v>
      </c>
      <c r="F119" s="69">
        <v>149</v>
      </c>
      <c r="G119" s="69">
        <v>902</v>
      </c>
      <c r="H119" s="69">
        <v>902</v>
      </c>
      <c r="I119" s="68">
        <v>1831</v>
      </c>
      <c r="J119" s="68">
        <v>1831</v>
      </c>
      <c r="K119" s="68">
        <v>3995</v>
      </c>
      <c r="L119" s="68">
        <v>3995</v>
      </c>
      <c r="M119" s="68">
        <v>7990</v>
      </c>
      <c r="P119" s="69">
        <v>704</v>
      </c>
      <c r="Q119" s="69">
        <v>704</v>
      </c>
      <c r="R119" s="69">
        <v>105</v>
      </c>
      <c r="S119" s="69">
        <v>105</v>
      </c>
      <c r="T119" s="74">
        <f t="shared" ref="T119:U125" si="83">G119/$H$8</f>
        <v>77.89291882556131</v>
      </c>
      <c r="U119" s="74">
        <f t="shared" si="83"/>
        <v>77.89291882556131</v>
      </c>
      <c r="V119" s="69">
        <v>809</v>
      </c>
      <c r="W119" s="69">
        <v>809</v>
      </c>
      <c r="X119" s="68">
        <v>1618</v>
      </c>
    </row>
    <row r="120" spans="1:40">
      <c r="A120" t="s">
        <v>206</v>
      </c>
      <c r="C120" s="68">
        <v>3252</v>
      </c>
      <c r="D120" s="68">
        <v>3252</v>
      </c>
      <c r="E120" s="69">
        <v>634</v>
      </c>
      <c r="F120" s="69">
        <v>634</v>
      </c>
      <c r="G120" s="68">
        <v>4005</v>
      </c>
      <c r="H120" s="68">
        <v>4005</v>
      </c>
      <c r="I120" s="68">
        <v>1525</v>
      </c>
      <c r="J120" s="68">
        <v>1525</v>
      </c>
      <c r="K120" s="68">
        <v>9416</v>
      </c>
      <c r="L120" s="68">
        <v>9416</v>
      </c>
      <c r="M120" s="68">
        <v>18832</v>
      </c>
      <c r="P120" s="68">
        <v>2258</v>
      </c>
      <c r="Q120" s="68">
        <v>2258</v>
      </c>
      <c r="R120" s="69">
        <v>459</v>
      </c>
      <c r="S120" s="69">
        <v>459</v>
      </c>
      <c r="T120" s="74">
        <f t="shared" si="83"/>
        <v>345.85492227979273</v>
      </c>
      <c r="U120" s="74">
        <f t="shared" si="83"/>
        <v>345.85492227979273</v>
      </c>
      <c r="V120" s="68">
        <v>2717</v>
      </c>
      <c r="W120" s="68">
        <v>2717</v>
      </c>
      <c r="X120" s="68">
        <v>5434</v>
      </c>
    </row>
    <row r="121" spans="1:40">
      <c r="A121" t="s">
        <v>207</v>
      </c>
      <c r="C121" s="68">
        <v>4405</v>
      </c>
      <c r="D121" s="68">
        <v>4405</v>
      </c>
      <c r="E121" s="69">
        <v>982</v>
      </c>
      <c r="F121" s="69">
        <v>982</v>
      </c>
      <c r="G121" s="68">
        <v>7338</v>
      </c>
      <c r="H121" s="68">
        <v>7338</v>
      </c>
      <c r="I121" s="68">
        <v>1053</v>
      </c>
      <c r="J121" s="68">
        <v>1053</v>
      </c>
      <c r="K121" s="68">
        <v>13778</v>
      </c>
      <c r="L121" s="68">
        <v>13778</v>
      </c>
      <c r="M121" s="68">
        <v>27556</v>
      </c>
      <c r="P121" s="68">
        <v>2942</v>
      </c>
      <c r="Q121" s="68">
        <v>2942</v>
      </c>
      <c r="R121" s="69">
        <v>905</v>
      </c>
      <c r="S121" s="69">
        <v>905</v>
      </c>
      <c r="T121" s="74">
        <f t="shared" si="83"/>
        <v>633.67875647668393</v>
      </c>
      <c r="U121" s="74">
        <f t="shared" si="83"/>
        <v>633.67875647668393</v>
      </c>
      <c r="V121" s="68">
        <v>3847</v>
      </c>
      <c r="W121" s="68">
        <v>3847</v>
      </c>
      <c r="X121" s="68">
        <v>7694</v>
      </c>
    </row>
    <row r="122" spans="1:40">
      <c r="A122" t="s">
        <v>208</v>
      </c>
      <c r="C122" s="68">
        <v>1194</v>
      </c>
      <c r="D122" s="68">
        <v>1194</v>
      </c>
      <c r="E122" s="69">
        <v>324</v>
      </c>
      <c r="F122" s="69">
        <v>324</v>
      </c>
      <c r="G122" s="68">
        <v>1204</v>
      </c>
      <c r="H122" s="68">
        <v>1204</v>
      </c>
      <c r="I122" s="69">
        <v>676</v>
      </c>
      <c r="J122" s="69">
        <v>676</v>
      </c>
      <c r="K122" s="68">
        <v>3398</v>
      </c>
      <c r="L122" s="68">
        <v>3398</v>
      </c>
      <c r="M122" s="68">
        <v>6796</v>
      </c>
      <c r="P122" s="69">
        <v>852</v>
      </c>
      <c r="Q122" s="69">
        <v>852</v>
      </c>
      <c r="R122" s="69">
        <v>278</v>
      </c>
      <c r="S122" s="69">
        <v>278</v>
      </c>
      <c r="T122" s="74">
        <f t="shared" si="83"/>
        <v>103.97236614853195</v>
      </c>
      <c r="U122" s="74">
        <f t="shared" si="83"/>
        <v>103.97236614853195</v>
      </c>
      <c r="V122" s="68">
        <v>1130</v>
      </c>
      <c r="W122" s="68">
        <v>1130</v>
      </c>
      <c r="X122" s="68">
        <v>2260</v>
      </c>
      <c r="AK122" s="447" t="s">
        <v>279</v>
      </c>
      <c r="AL122" s="447"/>
      <c r="AM122" s="447"/>
      <c r="AN122" s="447"/>
    </row>
    <row r="123" spans="1:40">
      <c r="A123" t="s">
        <v>209</v>
      </c>
      <c r="C123" s="68">
        <v>2353</v>
      </c>
      <c r="D123" s="68">
        <v>2353</v>
      </c>
      <c r="E123" s="69">
        <v>560</v>
      </c>
      <c r="F123" s="69">
        <v>560</v>
      </c>
      <c r="G123" s="68">
        <v>2525</v>
      </c>
      <c r="H123" s="68">
        <v>2525</v>
      </c>
      <c r="I123" s="68">
        <v>2539</v>
      </c>
      <c r="J123" s="68">
        <v>2539</v>
      </c>
      <c r="K123" s="68">
        <v>7977</v>
      </c>
      <c r="L123" s="68">
        <v>7977</v>
      </c>
      <c r="M123" s="68">
        <v>15954</v>
      </c>
      <c r="P123" s="68">
        <v>1671</v>
      </c>
      <c r="Q123" s="68">
        <v>1671</v>
      </c>
      <c r="R123" s="69">
        <v>452</v>
      </c>
      <c r="S123" s="69">
        <v>452</v>
      </c>
      <c r="T123" s="74">
        <f t="shared" si="83"/>
        <v>218.04835924006909</v>
      </c>
      <c r="U123" s="74">
        <f t="shared" si="83"/>
        <v>218.04835924006909</v>
      </c>
      <c r="V123" s="68">
        <v>2123</v>
      </c>
      <c r="W123" s="68">
        <v>2123</v>
      </c>
      <c r="X123" s="68">
        <v>4246</v>
      </c>
      <c r="AK123" t="s">
        <v>73</v>
      </c>
      <c r="AL123" t="s">
        <v>217</v>
      </c>
      <c r="AM123" t="s">
        <v>125</v>
      </c>
      <c r="AN123" t="s">
        <v>126</v>
      </c>
    </row>
    <row r="124" spans="1:40">
      <c r="A124" t="s">
        <v>210</v>
      </c>
      <c r="C124" s="68">
        <v>4287</v>
      </c>
      <c r="D124" s="68">
        <v>4287</v>
      </c>
      <c r="E124" s="68">
        <v>1040</v>
      </c>
      <c r="F124" s="68">
        <v>1040</v>
      </c>
      <c r="G124" s="68">
        <v>4743</v>
      </c>
      <c r="H124" s="68">
        <v>4743</v>
      </c>
      <c r="I124" s="68">
        <v>4771</v>
      </c>
      <c r="J124" s="68">
        <v>4771</v>
      </c>
      <c r="K124" s="68">
        <v>14841</v>
      </c>
      <c r="L124" s="68">
        <v>14841</v>
      </c>
      <c r="M124" s="68">
        <v>29682</v>
      </c>
      <c r="P124" s="68">
        <v>3021</v>
      </c>
      <c r="Q124" s="68">
        <v>3021</v>
      </c>
      <c r="R124" s="69">
        <v>820</v>
      </c>
      <c r="S124" s="69">
        <v>820</v>
      </c>
      <c r="T124" s="74">
        <f t="shared" si="83"/>
        <v>409.58549222797927</v>
      </c>
      <c r="U124" s="74">
        <f t="shared" si="83"/>
        <v>409.58549222797927</v>
      </c>
      <c r="V124" s="68">
        <v>3841</v>
      </c>
      <c r="W124" s="68">
        <v>3841</v>
      </c>
      <c r="X124" s="68">
        <v>7682</v>
      </c>
      <c r="AK124">
        <v>263.28750000000002</v>
      </c>
      <c r="AL124">
        <v>263.14999999999998</v>
      </c>
      <c r="AM124">
        <v>658.34339999999997</v>
      </c>
      <c r="AN124">
        <v>649.94010000000003</v>
      </c>
    </row>
    <row r="125" spans="1:40">
      <c r="A125" t="s">
        <v>211</v>
      </c>
      <c r="C125" s="69">
        <v>24</v>
      </c>
      <c r="D125" s="69">
        <v>24</v>
      </c>
      <c r="E125" s="69">
        <v>2</v>
      </c>
      <c r="F125" s="69">
        <v>2</v>
      </c>
      <c r="G125" s="69">
        <v>33</v>
      </c>
      <c r="H125" s="69">
        <v>33</v>
      </c>
      <c r="I125" s="69">
        <v>30</v>
      </c>
      <c r="J125" s="69">
        <v>30</v>
      </c>
      <c r="K125" s="69">
        <v>89</v>
      </c>
      <c r="L125" s="69">
        <v>89</v>
      </c>
      <c r="M125" s="69">
        <v>178</v>
      </c>
      <c r="P125" s="69">
        <v>19</v>
      </c>
      <c r="Q125" s="69">
        <v>19</v>
      </c>
      <c r="R125" s="69">
        <v>4</v>
      </c>
      <c r="S125" s="69">
        <v>4</v>
      </c>
      <c r="T125" s="74">
        <f t="shared" si="83"/>
        <v>2.849740932642487</v>
      </c>
      <c r="U125" s="74">
        <f t="shared" si="83"/>
        <v>2.849740932642487</v>
      </c>
      <c r="V125" s="69">
        <v>23</v>
      </c>
      <c r="W125" s="69">
        <v>23</v>
      </c>
      <c r="X125" s="69">
        <v>46</v>
      </c>
      <c r="AK125">
        <v>263.15710000000001</v>
      </c>
      <c r="AL125">
        <v>263.3263</v>
      </c>
      <c r="AM125">
        <v>652.92409999999995</v>
      </c>
      <c r="AN125">
        <v>649.42539999999997</v>
      </c>
    </row>
    <row r="126" spans="1:40">
      <c r="AK126">
        <v>263.78250000000003</v>
      </c>
      <c r="AL126">
        <v>263.52199999999999</v>
      </c>
      <c r="AM126">
        <v>655.89350000000002</v>
      </c>
      <c r="AN126">
        <v>647.83619999999996</v>
      </c>
    </row>
    <row r="127" spans="1:40">
      <c r="AK127">
        <v>264.4948</v>
      </c>
      <c r="AL127">
        <v>264.25319999999999</v>
      </c>
      <c r="AM127">
        <v>650.22400000000005</v>
      </c>
      <c r="AN127">
        <v>646.25300000000004</v>
      </c>
    </row>
    <row r="128" spans="1:40">
      <c r="AK128">
        <v>264.38010000000003</v>
      </c>
      <c r="AL128">
        <v>265.44740000000002</v>
      </c>
      <c r="AN128">
        <v>644.66999999999996</v>
      </c>
    </row>
    <row r="129" spans="27:38">
      <c r="AK129">
        <v>264.01859999999999</v>
      </c>
      <c r="AL129">
        <v>265.53899999999999</v>
      </c>
    </row>
    <row r="130" spans="27:38">
      <c r="AA130" s="32" t="s">
        <v>147</v>
      </c>
      <c r="AB130" s="32" t="s">
        <v>148</v>
      </c>
      <c r="AC130" s="32" t="s">
        <v>74</v>
      </c>
      <c r="AD130" s="32" t="s">
        <v>562</v>
      </c>
      <c r="AK130">
        <v>264.45800000000003</v>
      </c>
      <c r="AL130">
        <v>265.59870000000001</v>
      </c>
    </row>
    <row r="131" spans="27:38">
      <c r="AA131" t="s">
        <v>135</v>
      </c>
      <c r="AB131" t="s">
        <v>73</v>
      </c>
      <c r="AC131" s="75">
        <v>14267.0414</v>
      </c>
      <c r="AD131">
        <f>AC131/SUM($AC$131:$AC$132)</f>
        <v>0.4735987268619668</v>
      </c>
      <c r="AE131">
        <f>SUM(AD131:AD132)</f>
        <v>1</v>
      </c>
      <c r="AK131">
        <v>264.3426</v>
      </c>
      <c r="AL131">
        <v>265.5573</v>
      </c>
    </row>
    <row r="132" spans="27:38">
      <c r="AA132" t="s">
        <v>135</v>
      </c>
      <c r="AB132" t="s">
        <v>217</v>
      </c>
      <c r="AC132" s="75">
        <v>15857.7047</v>
      </c>
      <c r="AD132">
        <f>AC132/SUM($AC$131:$AC$132)</f>
        <v>0.5264012731380332</v>
      </c>
      <c r="AK132">
        <v>264.30790000000002</v>
      </c>
      <c r="AL132">
        <v>265.53140000000002</v>
      </c>
    </row>
    <row r="133" spans="27:38">
      <c r="AA133" t="s">
        <v>206</v>
      </c>
      <c r="AB133" t="s">
        <v>75</v>
      </c>
      <c r="AC133" s="75">
        <v>38657.855799999998</v>
      </c>
      <c r="AD133">
        <v>1</v>
      </c>
      <c r="AK133">
        <v>264.80329999999998</v>
      </c>
      <c r="AL133">
        <v>265.53230000000002</v>
      </c>
    </row>
    <row r="134" spans="27:38">
      <c r="AA134" t="s">
        <v>206</v>
      </c>
      <c r="AB134" t="s">
        <v>76</v>
      </c>
      <c r="AC134" s="75">
        <v>38408.5</v>
      </c>
      <c r="AD134">
        <v>1</v>
      </c>
      <c r="AK134">
        <v>264.80329999999998</v>
      </c>
      <c r="AL134">
        <v>265.58249999999998</v>
      </c>
    </row>
    <row r="135" spans="27:38">
      <c r="AA135" t="s">
        <v>206</v>
      </c>
      <c r="AB135" t="s">
        <v>220</v>
      </c>
      <c r="AC135" s="75">
        <v>31514.0893</v>
      </c>
      <c r="AD135">
        <v>1</v>
      </c>
      <c r="AK135">
        <v>264.80329999999998</v>
      </c>
      <c r="AL135">
        <v>265.4778</v>
      </c>
    </row>
    <row r="136" spans="27:38">
      <c r="AA136" t="s">
        <v>206</v>
      </c>
      <c r="AB136" t="s">
        <v>221</v>
      </c>
      <c r="AC136" s="75">
        <v>32098.9882</v>
      </c>
      <c r="AD136">
        <v>1</v>
      </c>
      <c r="AK136">
        <v>265.37630000000001</v>
      </c>
      <c r="AL136">
        <v>264.19540000000001</v>
      </c>
    </row>
    <row r="137" spans="27:38">
      <c r="AA137" t="s">
        <v>207</v>
      </c>
      <c r="AB137" t="s">
        <v>78</v>
      </c>
      <c r="AC137" s="75">
        <v>63163.374600000003</v>
      </c>
      <c r="AD137">
        <f>AC137/SUM($AC$137:$AC$139)</f>
        <v>0.3749310795992149</v>
      </c>
      <c r="AE137">
        <f>SUM(AD137:AD139)</f>
        <v>1</v>
      </c>
      <c r="AK137">
        <v>265.37630000000001</v>
      </c>
      <c r="AL137">
        <v>265.48930000000001</v>
      </c>
    </row>
    <row r="138" spans="27:38">
      <c r="AA138" t="s">
        <v>207</v>
      </c>
      <c r="AB138" t="s">
        <v>79</v>
      </c>
      <c r="AC138" s="75">
        <v>36231.236499999999</v>
      </c>
      <c r="AD138">
        <f t="shared" ref="AD138:AD139" si="84">AC138/SUM($AC$137:$AC$139)</f>
        <v>0.21506476976864181</v>
      </c>
      <c r="AK138">
        <v>265.37630000000001</v>
      </c>
      <c r="AL138">
        <v>265.2303</v>
      </c>
    </row>
    <row r="139" spans="27:38">
      <c r="AA139" t="s">
        <v>207</v>
      </c>
      <c r="AB139" t="s">
        <v>223</v>
      </c>
      <c r="AC139" s="75">
        <v>69072.016600000003</v>
      </c>
      <c r="AD139">
        <f t="shared" si="84"/>
        <v>0.41000415063214324</v>
      </c>
      <c r="AK139">
        <v>263.63299999999998</v>
      </c>
      <c r="AL139">
        <v>264.9914</v>
      </c>
    </row>
    <row r="140" spans="27:38">
      <c r="AA140" t="s">
        <v>208</v>
      </c>
      <c r="AB140" t="s">
        <v>85</v>
      </c>
      <c r="AC140" s="75">
        <v>4861.8494000000001</v>
      </c>
      <c r="AD140">
        <f>AC140/SUM($AC$140:$AC$142)</f>
        <v>0.50932407249705824</v>
      </c>
      <c r="AE140">
        <f>SUM(AD140:AD142)</f>
        <v>1</v>
      </c>
      <c r="AK140">
        <v>263.19029999999998</v>
      </c>
      <c r="AL140">
        <v>264.56079999999997</v>
      </c>
    </row>
    <row r="141" spans="27:38">
      <c r="AA141" t="s">
        <v>208</v>
      </c>
      <c r="AB141" t="s">
        <v>81</v>
      </c>
      <c r="AC141" s="75">
        <v>2430.8498</v>
      </c>
      <c r="AD141">
        <f>AC141/SUM($AC$140:$AC$142)</f>
        <v>0.25465418977491561</v>
      </c>
      <c r="AK141">
        <v>264.1825</v>
      </c>
      <c r="AL141">
        <v>265.35079999999999</v>
      </c>
    </row>
    <row r="142" spans="27:38">
      <c r="AA142" t="s">
        <v>208</v>
      </c>
      <c r="AB142" t="s">
        <v>82</v>
      </c>
      <c r="AC142" s="75">
        <v>2252.9902000000002</v>
      </c>
      <c r="AD142">
        <f>AC142/SUM($AC$140:$AC$142)</f>
        <v>0.23602173772802626</v>
      </c>
      <c r="AK142">
        <v>263.05619999999999</v>
      </c>
      <c r="AL142">
        <v>265.38589999999999</v>
      </c>
    </row>
    <row r="143" spans="27:38">
      <c r="AA143" t="s">
        <v>209</v>
      </c>
      <c r="AB143" t="s">
        <v>113</v>
      </c>
      <c r="AC143" s="75">
        <v>5756.5210999999999</v>
      </c>
      <c r="AD143">
        <f>AC143/SUM($AC$143:$AC$145)</f>
        <v>0.34334776653141269</v>
      </c>
      <c r="AE143">
        <f>SUM(AD143:AD145)</f>
        <v>1</v>
      </c>
      <c r="AK143">
        <v>263.01089999999999</v>
      </c>
      <c r="AL143">
        <v>265.15949999999998</v>
      </c>
    </row>
    <row r="144" spans="27:38">
      <c r="AA144" t="s">
        <v>209</v>
      </c>
      <c r="AB144" t="s">
        <v>114</v>
      </c>
      <c r="AC144" s="75">
        <v>5584.9350000000004</v>
      </c>
      <c r="AD144">
        <f t="shared" ref="AD144:AD145" si="85">AC144/SUM($AC$143:$AC$145)</f>
        <v>0.33311351164388425</v>
      </c>
      <c r="AK144">
        <v>264.36450000000002</v>
      </c>
      <c r="AL144">
        <v>265.40269999999998</v>
      </c>
    </row>
    <row r="145" spans="27:38">
      <c r="AA145" t="s">
        <v>209</v>
      </c>
      <c r="AB145" t="s">
        <v>115</v>
      </c>
      <c r="AC145" s="75">
        <v>5424.4053999999996</v>
      </c>
      <c r="AD145">
        <f t="shared" si="85"/>
        <v>0.32353872182470311</v>
      </c>
      <c r="AK145">
        <v>263.18360000000001</v>
      </c>
      <c r="AL145">
        <v>265.25900000000001</v>
      </c>
    </row>
    <row r="146" spans="27:38">
      <c r="AA146" t="s">
        <v>229</v>
      </c>
      <c r="AB146" t="s">
        <v>102</v>
      </c>
      <c r="AC146" s="75">
        <v>28051.338899999999</v>
      </c>
      <c r="AD146">
        <f>AC146/$AC$146</f>
        <v>1</v>
      </c>
      <c r="AE146">
        <f>SUM(AD146)</f>
        <v>1</v>
      </c>
      <c r="AK146">
        <v>263.02910000000003</v>
      </c>
      <c r="AL146">
        <v>265.23009999999999</v>
      </c>
    </row>
    <row r="147" spans="27:38">
      <c r="AA147" t="s">
        <v>211</v>
      </c>
      <c r="AB147" t="s">
        <v>105</v>
      </c>
      <c r="AC147" s="75">
        <v>15650.840399999999</v>
      </c>
      <c r="AD147">
        <f>AC147/SUM($AC$147:$AC$148)</f>
        <v>0.80490868986400721</v>
      </c>
      <c r="AE147">
        <f>SUM(AD147:AD148)</f>
        <v>1</v>
      </c>
      <c r="AK147">
        <v>263.04509999999999</v>
      </c>
      <c r="AL147">
        <v>265.24959999999999</v>
      </c>
    </row>
    <row r="148" spans="27:38">
      <c r="AA148" t="s">
        <v>211</v>
      </c>
      <c r="AB148" t="s">
        <v>106</v>
      </c>
      <c r="AC148" s="75">
        <v>3793.4029</v>
      </c>
      <c r="AD148">
        <f>AC148/SUM($AC$147:$AC$148)</f>
        <v>0.19509131013599282</v>
      </c>
      <c r="AK148">
        <v>263.1241</v>
      </c>
      <c r="AL148">
        <v>265.00060000000002</v>
      </c>
    </row>
    <row r="149" spans="27:38">
      <c r="AA149" t="s">
        <v>136</v>
      </c>
      <c r="AB149" t="s">
        <v>125</v>
      </c>
      <c r="AC149" s="75">
        <v>2617.3850000000002</v>
      </c>
      <c r="AD149">
        <f>AC149/SUM($AC$149:$AC$150)</f>
        <v>0.44699524620375919</v>
      </c>
      <c r="AE149">
        <f>SUM(AD149:AD150)</f>
        <v>0.99999999999999989</v>
      </c>
      <c r="AK149">
        <v>263.0609</v>
      </c>
      <c r="AL149">
        <v>263.95639999999997</v>
      </c>
    </row>
    <row r="150" spans="27:38">
      <c r="AA150" t="s">
        <v>136</v>
      </c>
      <c r="AB150" t="s">
        <v>126</v>
      </c>
      <c r="AC150" s="75">
        <v>3238.1246999999998</v>
      </c>
      <c r="AD150">
        <f>AC150/SUM($AC$149:$AC$150)</f>
        <v>0.5530047537962407</v>
      </c>
      <c r="AK150">
        <v>263.26960000000003</v>
      </c>
      <c r="AL150">
        <v>263.35599999999999</v>
      </c>
    </row>
    <row r="151" spans="27:38">
      <c r="AK151">
        <v>263.25670000000002</v>
      </c>
      <c r="AL151">
        <v>263.27480000000003</v>
      </c>
    </row>
    <row r="152" spans="27:38">
      <c r="AK152">
        <v>263.22179999999997</v>
      </c>
      <c r="AL152">
        <v>264.59930000000003</v>
      </c>
    </row>
    <row r="153" spans="27:38">
      <c r="AK153">
        <v>263.14269999999999</v>
      </c>
      <c r="AL153">
        <v>264.1114</v>
      </c>
    </row>
    <row r="154" spans="27:38">
      <c r="AK154">
        <v>263.28269999999998</v>
      </c>
      <c r="AL154">
        <v>264.56790000000001</v>
      </c>
    </row>
    <row r="155" spans="27:38">
      <c r="AK155">
        <v>263.08359999999999</v>
      </c>
      <c r="AL155">
        <v>264.10300000000001</v>
      </c>
    </row>
    <row r="156" spans="27:38">
      <c r="AK156">
        <v>263.1728</v>
      </c>
      <c r="AL156">
        <v>264.13679999999999</v>
      </c>
    </row>
    <row r="157" spans="27:38">
      <c r="AK157">
        <v>263.08359999999999</v>
      </c>
      <c r="AL157">
        <v>265.03250000000003</v>
      </c>
    </row>
    <row r="158" spans="27:38">
      <c r="AK158">
        <v>263.1728</v>
      </c>
      <c r="AL158">
        <v>263.67070000000001</v>
      </c>
    </row>
    <row r="159" spans="27:38">
      <c r="AK159">
        <v>263.01299999999998</v>
      </c>
      <c r="AL159">
        <v>264.59930000000003</v>
      </c>
    </row>
    <row r="160" spans="27:38">
      <c r="AK160">
        <v>263.08710000000002</v>
      </c>
      <c r="AL160">
        <v>264.1114</v>
      </c>
    </row>
    <row r="161" spans="37:38">
      <c r="AK161">
        <v>263.33159999999998</v>
      </c>
      <c r="AL161">
        <v>264.56790000000001</v>
      </c>
    </row>
    <row r="162" spans="37:38">
      <c r="AK162">
        <v>265.45819999999998</v>
      </c>
      <c r="AL162">
        <v>264.10300000000001</v>
      </c>
    </row>
    <row r="163" spans="37:38">
      <c r="AK163">
        <v>265.39909999999998</v>
      </c>
      <c r="AL163">
        <v>264.13679999999999</v>
      </c>
    </row>
    <row r="164" spans="37:38">
      <c r="AK164">
        <v>265.35759999999999</v>
      </c>
      <c r="AL164">
        <v>265.03250000000003</v>
      </c>
    </row>
    <row r="165" spans="37:38">
      <c r="AK165">
        <v>265.48480000000001</v>
      </c>
      <c r="AL165">
        <v>263.67070000000001</v>
      </c>
    </row>
    <row r="166" spans="37:38">
      <c r="AK166">
        <v>265.4966</v>
      </c>
      <c r="AL166">
        <v>263.78210000000001</v>
      </c>
    </row>
    <row r="167" spans="37:38">
      <c r="AK167">
        <v>265.44389999999999</v>
      </c>
      <c r="AL167">
        <v>262.28149999999999</v>
      </c>
    </row>
    <row r="168" spans="37:38">
      <c r="AK168">
        <v>265.4871</v>
      </c>
      <c r="AL168">
        <v>263.08690000000001</v>
      </c>
    </row>
    <row r="169" spans="37:38">
      <c r="AK169">
        <v>265.36009999999999</v>
      </c>
      <c r="AL169">
        <v>263.19619999999998</v>
      </c>
    </row>
    <row r="170" spans="37:38">
      <c r="AK170">
        <v>265.33390000000003</v>
      </c>
      <c r="AL170">
        <v>263.19619999999998</v>
      </c>
    </row>
    <row r="171" spans="37:38">
      <c r="AK171">
        <v>263.99829999999997</v>
      </c>
      <c r="AL171">
        <v>263.19619999999998</v>
      </c>
    </row>
    <row r="172" spans="37:38">
      <c r="AK172">
        <v>265.33260000000001</v>
      </c>
      <c r="AL172">
        <v>263.19619999999998</v>
      </c>
    </row>
    <row r="173" spans="37:38">
      <c r="AK173">
        <v>265.49009999999998</v>
      </c>
      <c r="AL173">
        <v>263.19619999999998</v>
      </c>
    </row>
    <row r="174" spans="37:38">
      <c r="AK174">
        <v>265.39690000000002</v>
      </c>
      <c r="AL174">
        <v>263.19619999999998</v>
      </c>
    </row>
    <row r="175" spans="37:38">
      <c r="AK175">
        <v>265.41719999999998</v>
      </c>
      <c r="AL175">
        <v>264.41059999999999</v>
      </c>
    </row>
    <row r="176" spans="37:38">
      <c r="AK176">
        <v>265.38510000000002</v>
      </c>
      <c r="AL176">
        <v>264.40190000000001</v>
      </c>
    </row>
    <row r="177" spans="37:40">
      <c r="AK177">
        <v>265.43380000000002</v>
      </c>
      <c r="AL177">
        <v>263.1893</v>
      </c>
    </row>
    <row r="178" spans="37:40">
      <c r="AL178">
        <v>263.76400000000001</v>
      </c>
    </row>
    <row r="179" spans="37:40">
      <c r="AL179">
        <v>263.76400000000001</v>
      </c>
    </row>
    <row r="180" spans="37:40">
      <c r="AL180">
        <v>263.76400000000001</v>
      </c>
    </row>
    <row r="181" spans="37:40">
      <c r="AL181">
        <v>263.33859999999999</v>
      </c>
    </row>
    <row r="182" spans="37:40">
      <c r="AL182">
        <v>263.40210000000002</v>
      </c>
    </row>
    <row r="183" spans="37:40">
      <c r="AL183">
        <v>263.28879999999998</v>
      </c>
    </row>
    <row r="189" spans="37:40">
      <c r="AK189">
        <f>SUM(AK124:AK188)</f>
        <v>14267.0414</v>
      </c>
      <c r="AL189">
        <f t="shared" ref="AL189:AN189" si="86">SUM(AL124:AL188)</f>
        <v>15857.704699999997</v>
      </c>
      <c r="AM189">
        <f t="shared" si="86"/>
        <v>2617.3850000000002</v>
      </c>
      <c r="AN189">
        <f t="shared" si="86"/>
        <v>3238.1246999999998</v>
      </c>
    </row>
    <row r="190" spans="37:40">
      <c r="AM190">
        <v>2617.3850000000002</v>
      </c>
      <c r="AN190">
        <v>3238.1246999999998</v>
      </c>
    </row>
  </sheetData>
  <mergeCells count="99">
    <mergeCell ref="AX5:AZ5"/>
    <mergeCell ref="AA12:AB12"/>
    <mergeCell ref="AC12:AD12"/>
    <mergeCell ref="AP12:AQ12"/>
    <mergeCell ref="AR12:AS12"/>
    <mergeCell ref="BP25:BR25"/>
    <mergeCell ref="AV25:AW25"/>
    <mergeCell ref="AX25:AZ25"/>
    <mergeCell ref="AA25:AB25"/>
    <mergeCell ref="AI25:AK25"/>
    <mergeCell ref="AP25:AQ25"/>
    <mergeCell ref="AR25:AS25"/>
    <mergeCell ref="AT25:AU25"/>
    <mergeCell ref="AC25:AD25"/>
    <mergeCell ref="AE25:AF25"/>
    <mergeCell ref="AG25:AH25"/>
    <mergeCell ref="BG25:BI25"/>
    <mergeCell ref="AA4:AF4"/>
    <mergeCell ref="AG4:AH5"/>
    <mergeCell ref="AP4:AU4"/>
    <mergeCell ref="AV4:AW5"/>
    <mergeCell ref="AP5:AQ5"/>
    <mergeCell ref="AR5:AS5"/>
    <mergeCell ref="AT5:AU5"/>
    <mergeCell ref="AA5:AB5"/>
    <mergeCell ref="AC5:AD5"/>
    <mergeCell ref="AE5:AF5"/>
    <mergeCell ref="AI5:AK5"/>
    <mergeCell ref="BP26:BP43"/>
    <mergeCell ref="BQ26:BQ29"/>
    <mergeCell ref="BQ30:BQ31"/>
    <mergeCell ref="BQ32:BQ33"/>
    <mergeCell ref="BQ34:BQ35"/>
    <mergeCell ref="BQ36:BQ37"/>
    <mergeCell ref="BQ38:BQ39"/>
    <mergeCell ref="BQ40:BQ41"/>
    <mergeCell ref="BQ42:BQ43"/>
    <mergeCell ref="BG26:BG43"/>
    <mergeCell ref="BH26:BH29"/>
    <mergeCell ref="BH30:BH31"/>
    <mergeCell ref="BH32:BH33"/>
    <mergeCell ref="BH34:BH35"/>
    <mergeCell ref="BH36:BH37"/>
    <mergeCell ref="BH38:BH39"/>
    <mergeCell ref="BH40:BH41"/>
    <mergeCell ref="BH42:BH43"/>
    <mergeCell ref="AK122:AN122"/>
    <mergeCell ref="DR60:DU60"/>
    <mergeCell ref="DY60:DZ60"/>
    <mergeCell ref="CE60:CR60"/>
    <mergeCell ref="CX60:DA60"/>
    <mergeCell ref="DB60:DE60"/>
    <mergeCell ref="DF60:DI60"/>
    <mergeCell ref="DJ60:DM60"/>
    <mergeCell ref="DN60:DQ60"/>
    <mergeCell ref="BC60:BP60"/>
    <mergeCell ref="AO60:BB60"/>
    <mergeCell ref="AA60:AN60"/>
    <mergeCell ref="P117:Q117"/>
    <mergeCell ref="R117:S117"/>
    <mergeCell ref="T117:U117"/>
    <mergeCell ref="V117:X117"/>
    <mergeCell ref="G27:H27"/>
    <mergeCell ref="I27:J27"/>
    <mergeCell ref="K27:M27"/>
    <mergeCell ref="M60:Z60"/>
    <mergeCell ref="C117:D117"/>
    <mergeCell ref="E117:F117"/>
    <mergeCell ref="G117:H117"/>
    <mergeCell ref="I117:J117"/>
    <mergeCell ref="K117:M117"/>
    <mergeCell ref="B6:C7"/>
    <mergeCell ref="D6:E6"/>
    <mergeCell ref="B8:B9"/>
    <mergeCell ref="B10:B11"/>
    <mergeCell ref="B12:B13"/>
    <mergeCell ref="ED60:EE60"/>
    <mergeCell ref="M86:Z86"/>
    <mergeCell ref="AA86:AN86"/>
    <mergeCell ref="AO86:BB86"/>
    <mergeCell ref="BC86:BP86"/>
    <mergeCell ref="BQ86:CD86"/>
    <mergeCell ref="CE86:CR86"/>
    <mergeCell ref="CX86:DA86"/>
    <mergeCell ref="DB86:DE86"/>
    <mergeCell ref="DF86:DI86"/>
    <mergeCell ref="DJ86:DM86"/>
    <mergeCell ref="DN86:DQ86"/>
    <mergeCell ref="DR86:DU86"/>
    <mergeCell ref="DY86:DZ86"/>
    <mergeCell ref="ED86:EE86"/>
    <mergeCell ref="BQ60:CD60"/>
    <mergeCell ref="C27:D27"/>
    <mergeCell ref="E27:F27"/>
    <mergeCell ref="B14:B15"/>
    <mergeCell ref="B16:B17"/>
    <mergeCell ref="B18:B19"/>
    <mergeCell ref="B20:B21"/>
    <mergeCell ref="B22:B23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C307"/>
  <sheetViews>
    <sheetView topLeftCell="CW80" zoomScale="70" zoomScaleNormal="70" workbookViewId="0">
      <selection activeCell="EJ92" sqref="EJ92"/>
    </sheetView>
  </sheetViews>
  <sheetFormatPr defaultRowHeight="17"/>
  <cols>
    <col min="3" max="3" width="11.5" bestFit="1" customWidth="1"/>
    <col min="11" max="11" width="41.5" bestFit="1" customWidth="1"/>
    <col min="13" max="13" width="8.75" bestFit="1" customWidth="1"/>
    <col min="14" max="14" width="11.5" bestFit="1" customWidth="1"/>
    <col min="15" max="15" width="11.08203125" bestFit="1" customWidth="1"/>
    <col min="16" max="17" width="11.5" bestFit="1" customWidth="1"/>
    <col min="18" max="19" width="8.75" bestFit="1" customWidth="1"/>
    <col min="20" max="20" width="9.58203125" bestFit="1" customWidth="1"/>
    <col min="21" max="21" width="8.75" bestFit="1" customWidth="1"/>
    <col min="22" max="22" width="11.58203125" bestFit="1" customWidth="1"/>
    <col min="23" max="24" width="8.75" bestFit="1" customWidth="1"/>
    <col min="25" max="25" width="9.75" bestFit="1" customWidth="1"/>
    <col min="26" max="26" width="9.58203125" bestFit="1" customWidth="1"/>
    <col min="31" max="31" width="11.75" bestFit="1" customWidth="1"/>
    <col min="32" max="32" width="11" bestFit="1" customWidth="1"/>
    <col min="48" max="48" width="16.4140625" customWidth="1"/>
    <col min="49" max="49" width="13.08203125" bestFit="1" customWidth="1"/>
    <col min="56" max="56" width="16.33203125" bestFit="1" customWidth="1"/>
    <col min="83" max="84" width="7.6640625" bestFit="1" customWidth="1"/>
    <col min="85" max="87" width="9" bestFit="1" customWidth="1"/>
    <col min="88" max="88" width="13.75" bestFit="1" customWidth="1"/>
    <col min="89" max="89" width="9" bestFit="1" customWidth="1"/>
    <col min="90" max="90" width="11.75" bestFit="1" customWidth="1"/>
    <col min="91" max="91" width="10.25" bestFit="1" customWidth="1"/>
    <col min="92" max="92" width="6.58203125" bestFit="1" customWidth="1"/>
    <col min="93" max="94" width="7.1640625" bestFit="1" customWidth="1"/>
    <col min="95" max="95" width="5.5" bestFit="1" customWidth="1"/>
    <col min="96" max="96" width="7.6640625" bestFit="1" customWidth="1"/>
    <col min="101" max="101" width="18.1640625" bestFit="1" customWidth="1"/>
    <col min="127" max="128" width="19.58203125" bestFit="1" customWidth="1"/>
    <col min="133" max="133" width="19.58203125" bestFit="1" customWidth="1"/>
    <col min="136" max="136" width="19" bestFit="1" customWidth="1"/>
    <col min="137" max="137" width="19" customWidth="1"/>
    <col min="138" max="138" width="11.83203125" bestFit="1" customWidth="1"/>
  </cols>
  <sheetData>
    <row r="1" spans="1:56">
      <c r="A1" t="s">
        <v>846</v>
      </c>
    </row>
    <row r="2" spans="1:56">
      <c r="A2" s="32" t="s">
        <v>149</v>
      </c>
      <c r="B2" s="32" t="s">
        <v>845</v>
      </c>
    </row>
    <row r="4" spans="1:56" ht="20.5">
      <c r="A4" t="s">
        <v>0</v>
      </c>
      <c r="K4" t="s">
        <v>276</v>
      </c>
      <c r="M4" t="s">
        <v>257</v>
      </c>
      <c r="S4" t="s">
        <v>253</v>
      </c>
      <c r="AV4" s="364" t="s">
        <v>773</v>
      </c>
      <c r="BD4" s="364" t="s">
        <v>773</v>
      </c>
    </row>
    <row r="5" spans="1:56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  <c r="AV5" t="s">
        <v>772</v>
      </c>
    </row>
    <row r="6" spans="1:56" ht="17.25" customHeight="1" thickTop="1" thickBot="1">
      <c r="A6" s="576" t="s">
        <v>27</v>
      </c>
      <c r="B6" s="577"/>
      <c r="C6" s="1" t="s">
        <v>2</v>
      </c>
      <c r="D6" s="619" t="s">
        <v>5</v>
      </c>
      <c r="E6" s="577"/>
      <c r="F6" s="619" t="s">
        <v>7</v>
      </c>
      <c r="G6" s="620"/>
      <c r="H6" s="621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622" t="s">
        <v>175</v>
      </c>
      <c r="T6" s="623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71</v>
      </c>
      <c r="AG6" t="s">
        <v>72</v>
      </c>
      <c r="AL6" s="76" t="s">
        <v>244</v>
      </c>
      <c r="AN6" t="s">
        <v>245</v>
      </c>
      <c r="AV6" t="s">
        <v>776</v>
      </c>
      <c r="BD6" s="32" t="s">
        <v>777</v>
      </c>
    </row>
    <row r="7" spans="1:56" ht="18" thickTop="1" thickBot="1">
      <c r="A7" s="613"/>
      <c r="B7" s="614"/>
      <c r="C7" s="2" t="s">
        <v>3</v>
      </c>
      <c r="D7" s="624" t="s">
        <v>6</v>
      </c>
      <c r="E7" s="625"/>
      <c r="F7" s="624" t="s">
        <v>8</v>
      </c>
      <c r="G7" s="626"/>
      <c r="H7" s="627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628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6" t="s">
        <v>27</v>
      </c>
      <c r="AG7" s="577"/>
      <c r="AH7" s="1" t="s">
        <v>340</v>
      </c>
      <c r="AI7" s="615" t="s">
        <v>234</v>
      </c>
      <c r="AJ7" s="616"/>
      <c r="AK7" s="616"/>
      <c r="AL7" s="616"/>
      <c r="AM7" s="616"/>
      <c r="AN7" s="617"/>
      <c r="AS7" t="s">
        <v>774</v>
      </c>
      <c r="AT7" t="s">
        <v>775</v>
      </c>
      <c r="AV7" s="98"/>
      <c r="AW7" s="98" t="s">
        <v>763</v>
      </c>
      <c r="AX7" s="98" t="s">
        <v>764</v>
      </c>
      <c r="AY7" s="306" t="s">
        <v>765</v>
      </c>
      <c r="AZ7" s="98" t="s">
        <v>766</v>
      </c>
      <c r="BA7" s="98" t="s">
        <v>767</v>
      </c>
      <c r="BB7" s="98" t="s">
        <v>768</v>
      </c>
      <c r="BD7" s="368">
        <v>2.8500000000000001E-2</v>
      </c>
    </row>
    <row r="8" spans="1:56" ht="18" thickTop="1" thickBot="1">
      <c r="A8" s="578"/>
      <c r="B8" s="579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29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613"/>
      <c r="AG8" s="614"/>
      <c r="AH8" s="2" t="s">
        <v>3</v>
      </c>
      <c r="AI8" s="608" t="s">
        <v>341</v>
      </c>
      <c r="AJ8" s="609"/>
      <c r="AK8" s="618"/>
      <c r="AL8" s="608" t="s">
        <v>342</v>
      </c>
      <c r="AM8" s="609"/>
      <c r="AN8" s="610"/>
      <c r="AS8" s="97">
        <f>F21</f>
        <v>31679</v>
      </c>
      <c r="AT8">
        <v>2024</v>
      </c>
      <c r="AV8" s="98"/>
      <c r="AW8" s="98"/>
      <c r="AX8" s="369">
        <v>0</v>
      </c>
      <c r="AY8" s="370">
        <v>1</v>
      </c>
      <c r="AZ8" s="369">
        <v>2</v>
      </c>
      <c r="BA8" s="369">
        <v>3</v>
      </c>
      <c r="BB8" s="369">
        <v>4</v>
      </c>
    </row>
    <row r="9" spans="1:56" ht="18" thickTop="1" thickBot="1">
      <c r="A9" s="611" t="s">
        <v>12</v>
      </c>
      <c r="B9" s="612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29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8"/>
      <c r="AG9" s="579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  <c r="AV9" s="98" t="s">
        <v>769</v>
      </c>
      <c r="AW9" s="98">
        <v>100000</v>
      </c>
      <c r="AX9" s="365">
        <v>0.3</v>
      </c>
      <c r="AY9" s="366">
        <v>0.7</v>
      </c>
      <c r="AZ9" s="365">
        <v>0.85</v>
      </c>
      <c r="BA9" s="365">
        <v>0.95</v>
      </c>
      <c r="BB9" s="365">
        <v>1</v>
      </c>
    </row>
    <row r="10" spans="1:56" ht="16.5" customHeight="1" thickTop="1">
      <c r="A10" s="598" t="s">
        <v>13</v>
      </c>
      <c r="B10" s="59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5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611" t="s">
        <v>135</v>
      </c>
      <c r="AG10" s="612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  <c r="AV10" s="98" t="s">
        <v>770</v>
      </c>
      <c r="AW10" s="98">
        <v>50000</v>
      </c>
      <c r="AX10" s="365">
        <v>0.5</v>
      </c>
      <c r="AY10" s="366">
        <v>0.8</v>
      </c>
      <c r="AZ10" s="365">
        <v>0.9</v>
      </c>
      <c r="BA10" s="365">
        <v>1</v>
      </c>
      <c r="BB10" s="365">
        <v>1</v>
      </c>
    </row>
    <row r="11" spans="1:56">
      <c r="A11" s="598" t="s">
        <v>14</v>
      </c>
      <c r="B11" s="59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4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98" t="s">
        <v>136</v>
      </c>
      <c r="AG11" s="59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  <c r="AV11" s="306" t="s">
        <v>771</v>
      </c>
      <c r="AW11" s="306">
        <v>49999</v>
      </c>
      <c r="AX11" s="366">
        <v>0.7</v>
      </c>
      <c r="AY11" s="367">
        <v>0.9</v>
      </c>
      <c r="AZ11" s="366">
        <v>1</v>
      </c>
      <c r="BA11" s="366">
        <v>1</v>
      </c>
      <c r="BB11" s="366">
        <v>1</v>
      </c>
    </row>
    <row r="12" spans="1:56">
      <c r="A12" s="598" t="s">
        <v>15</v>
      </c>
      <c r="B12" s="59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5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98" t="s">
        <v>137</v>
      </c>
      <c r="AG12" s="59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56">
      <c r="A13" s="598" t="s">
        <v>16</v>
      </c>
      <c r="B13" s="59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4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98" t="s">
        <v>139</v>
      </c>
      <c r="AG13" s="59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56">
      <c r="A14" s="598" t="s">
        <v>17</v>
      </c>
      <c r="B14" s="59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5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98" t="s">
        <v>43</v>
      </c>
      <c r="AG14" s="59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56" ht="16.5" customHeight="1">
      <c r="A15" s="190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4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98" t="s">
        <v>141</v>
      </c>
      <c r="AG15" s="59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56">
      <c r="A16" s="189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5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190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89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4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189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30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189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98" t="s">
        <v>24</v>
      </c>
      <c r="B19" s="59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98" t="s">
        <v>25</v>
      </c>
      <c r="B20" s="59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98" t="s">
        <v>144</v>
      </c>
      <c r="AG20" s="59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0" t="s">
        <v>26</v>
      </c>
      <c r="B21" s="601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 t="e">
        <f>#REF!</f>
        <v>#REF!</v>
      </c>
      <c r="AF21" s="598" t="s">
        <v>146</v>
      </c>
      <c r="AG21" s="59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AF22" s="600" t="s">
        <v>26</v>
      </c>
      <c r="AG22" s="601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432</v>
      </c>
      <c r="Q24" s="76"/>
      <c r="S24" t="s">
        <v>245</v>
      </c>
    </row>
    <row r="25" spans="1:40" ht="17.5" thickTop="1">
      <c r="A25" s="576" t="s">
        <v>1</v>
      </c>
      <c r="B25" s="577"/>
      <c r="C25" s="1" t="s">
        <v>2</v>
      </c>
      <c r="D25" s="615" t="s">
        <v>29</v>
      </c>
      <c r="E25" s="616"/>
      <c r="F25" s="616"/>
      <c r="G25" s="616"/>
      <c r="H25" s="616"/>
      <c r="I25" s="617"/>
      <c r="K25" s="576" t="s">
        <v>27</v>
      </c>
      <c r="L25" s="577"/>
      <c r="M25" s="1" t="s">
        <v>2</v>
      </c>
      <c r="N25" s="615" t="s">
        <v>234</v>
      </c>
      <c r="O25" s="616"/>
      <c r="P25" s="616"/>
      <c r="Q25" s="616"/>
      <c r="R25" s="616"/>
      <c r="S25" s="617"/>
    </row>
    <row r="26" spans="1:40">
      <c r="A26" s="613"/>
      <c r="B26" s="614"/>
      <c r="C26" s="2" t="s">
        <v>3</v>
      </c>
      <c r="D26" s="608" t="s">
        <v>30</v>
      </c>
      <c r="E26" s="609"/>
      <c r="F26" s="618"/>
      <c r="G26" s="608" t="s">
        <v>31</v>
      </c>
      <c r="H26" s="609"/>
      <c r="I26" s="610"/>
      <c r="K26" s="613"/>
      <c r="L26" s="614"/>
      <c r="M26" s="2" t="s">
        <v>3</v>
      </c>
      <c r="N26" s="608" t="s">
        <v>30</v>
      </c>
      <c r="O26" s="609"/>
      <c r="P26" s="618"/>
      <c r="Q26" s="608" t="s">
        <v>31</v>
      </c>
      <c r="R26" s="609"/>
      <c r="S26" s="610"/>
      <c r="U26" t="s">
        <v>35</v>
      </c>
      <c r="W26" t="s">
        <v>38</v>
      </c>
    </row>
    <row r="27" spans="1:40" ht="17.5" thickBot="1">
      <c r="A27" s="578"/>
      <c r="B27" s="579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8"/>
      <c r="L27" s="579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</row>
    <row r="28" spans="1:40" ht="17.5" thickTop="1">
      <c r="A28" s="611" t="s">
        <v>12</v>
      </c>
      <c r="B28" s="612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611" t="s">
        <v>135</v>
      </c>
      <c r="L28" s="612"/>
      <c r="M28" s="6">
        <v>53</v>
      </c>
      <c r="N28" s="6">
        <f>AI10/2</f>
        <v>170</v>
      </c>
      <c r="O28" s="6"/>
      <c r="P28" s="6">
        <f>N28+O28</f>
        <v>170</v>
      </c>
      <c r="Q28" s="6">
        <f>AL10/2</f>
        <v>170</v>
      </c>
      <c r="R28" s="6"/>
      <c r="S28" s="6">
        <f>Q28+R28</f>
        <v>170</v>
      </c>
      <c r="V28">
        <v>2029</v>
      </c>
      <c r="W28">
        <v>2.5499999999999998</v>
      </c>
    </row>
    <row r="29" spans="1:40">
      <c r="A29" s="598" t="s">
        <v>13</v>
      </c>
      <c r="B29" s="59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98" t="s">
        <v>136</v>
      </c>
      <c r="L29" s="599"/>
      <c r="M29" s="8">
        <v>15360</v>
      </c>
      <c r="N29" s="9">
        <f t="shared" ref="N29:N33" si="0">AI11/2</f>
        <v>138</v>
      </c>
      <c r="O29" s="8"/>
      <c r="P29" s="8">
        <f t="shared" ref="P29:P39" si="1">N29+O29</f>
        <v>138</v>
      </c>
      <c r="Q29" s="9">
        <f t="shared" ref="Q29:Q33" si="2">AL11/2</f>
        <v>135</v>
      </c>
      <c r="R29" s="8"/>
      <c r="S29" s="11">
        <f t="shared" ref="S29:S39" si="3">Q29+R29</f>
        <v>135</v>
      </c>
      <c r="U29" t="s">
        <v>37</v>
      </c>
      <c r="V29">
        <v>2025</v>
      </c>
      <c r="W29">
        <v>2</v>
      </c>
    </row>
    <row r="30" spans="1:40">
      <c r="A30" s="598" t="s">
        <v>14</v>
      </c>
      <c r="B30" s="59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98" t="s">
        <v>137</v>
      </c>
      <c r="L30" s="599"/>
      <c r="M30" s="8">
        <v>88536</v>
      </c>
      <c r="N30" s="8">
        <f t="shared" si="0"/>
        <v>1028</v>
      </c>
      <c r="O30" s="8"/>
      <c r="P30" s="8">
        <f t="shared" si="1"/>
        <v>1028</v>
      </c>
      <c r="Q30" s="8">
        <f t="shared" si="2"/>
        <v>1011</v>
      </c>
      <c r="R30" s="8"/>
      <c r="S30" s="11">
        <f t="shared" si="3"/>
        <v>1011</v>
      </c>
      <c r="V30">
        <v>2029</v>
      </c>
      <c r="W30">
        <v>2</v>
      </c>
    </row>
    <row r="31" spans="1:40">
      <c r="A31" s="598" t="s">
        <v>15</v>
      </c>
      <c r="B31" s="59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98" t="s">
        <v>139</v>
      </c>
      <c r="L31" s="599"/>
      <c r="M31" s="8">
        <v>835928</v>
      </c>
      <c r="N31" s="8">
        <f t="shared" si="0"/>
        <v>29007</v>
      </c>
      <c r="O31" s="8"/>
      <c r="P31" s="8">
        <f t="shared" si="1"/>
        <v>29007</v>
      </c>
      <c r="Q31" s="8">
        <f t="shared" si="2"/>
        <v>28532</v>
      </c>
      <c r="R31" s="8"/>
      <c r="S31" s="11">
        <f t="shared" si="3"/>
        <v>28532</v>
      </c>
    </row>
    <row r="32" spans="1:40">
      <c r="A32" s="598" t="s">
        <v>16</v>
      </c>
      <c r="B32" s="59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98" t="s">
        <v>43</v>
      </c>
      <c r="L32" s="599"/>
      <c r="M32" s="8">
        <v>114912</v>
      </c>
      <c r="N32" s="8">
        <f t="shared" si="0"/>
        <v>3144</v>
      </c>
      <c r="O32" s="8"/>
      <c r="P32" s="8">
        <f t="shared" si="1"/>
        <v>3144</v>
      </c>
      <c r="Q32" s="8">
        <f t="shared" si="2"/>
        <v>3092</v>
      </c>
      <c r="R32" s="8"/>
      <c r="S32" s="11">
        <f t="shared" si="3"/>
        <v>3092</v>
      </c>
    </row>
    <row r="33" spans="1:159">
      <c r="A33" s="598" t="s">
        <v>17</v>
      </c>
      <c r="B33" s="59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98" t="s">
        <v>141</v>
      </c>
      <c r="L33" s="599"/>
      <c r="M33" s="8">
        <v>265206</v>
      </c>
      <c r="N33" s="8">
        <f t="shared" si="0"/>
        <v>2684</v>
      </c>
      <c r="O33" s="8"/>
      <c r="P33" s="8">
        <f t="shared" si="1"/>
        <v>2684</v>
      </c>
      <c r="Q33" s="8">
        <f t="shared" si="2"/>
        <v>2640</v>
      </c>
      <c r="R33" s="8"/>
      <c r="S33" s="11">
        <f t="shared" si="3"/>
        <v>2640</v>
      </c>
    </row>
    <row r="34" spans="1:159">
      <c r="A34" s="189" t="s">
        <v>19</v>
      </c>
      <c r="B34" s="15" t="s">
        <v>14</v>
      </c>
      <c r="C34" s="8">
        <v>68522</v>
      </c>
      <c r="D34" s="9">
        <v>614</v>
      </c>
      <c r="E34" s="8">
        <v>4451</v>
      </c>
      <c r="F34" s="8">
        <v>5065</v>
      </c>
      <c r="G34" s="9">
        <v>614</v>
      </c>
      <c r="H34" s="8">
        <v>4449</v>
      </c>
      <c r="I34" s="11">
        <v>5063</v>
      </c>
      <c r="J34" s="33"/>
      <c r="K34" s="189" t="s">
        <v>19</v>
      </c>
      <c r="L34" s="15" t="s">
        <v>14</v>
      </c>
      <c r="M34" s="8">
        <v>68522</v>
      </c>
      <c r="N34" s="8">
        <f t="shared" ref="N34:N39" si="4">AI17/2</f>
        <v>796</v>
      </c>
      <c r="O34" s="8"/>
      <c r="P34" s="8">
        <f t="shared" si="1"/>
        <v>796</v>
      </c>
      <c r="Q34" s="8">
        <f t="shared" ref="Q34:Q39" si="5">AL17/2</f>
        <v>783</v>
      </c>
      <c r="R34" s="8"/>
      <c r="S34" s="11">
        <f t="shared" si="3"/>
        <v>783</v>
      </c>
    </row>
    <row r="35" spans="1:159" ht="25">
      <c r="A35" s="189" t="s">
        <v>20</v>
      </c>
      <c r="B35" s="15" t="s">
        <v>13</v>
      </c>
      <c r="C35" s="8">
        <v>68522</v>
      </c>
      <c r="D35" s="9">
        <v>472</v>
      </c>
      <c r="E35" s="8">
        <v>3997</v>
      </c>
      <c r="F35" s="8">
        <v>4469</v>
      </c>
      <c r="G35" s="9">
        <v>472</v>
      </c>
      <c r="H35" s="8">
        <v>3995</v>
      </c>
      <c r="I35" s="11">
        <v>4467</v>
      </c>
      <c r="J35" s="33"/>
      <c r="K35" s="189" t="s">
        <v>20</v>
      </c>
      <c r="L35" s="15" t="s">
        <v>13</v>
      </c>
      <c r="M35" s="8">
        <v>68522</v>
      </c>
      <c r="N35" s="8">
        <f t="shared" si="4"/>
        <v>612</v>
      </c>
      <c r="O35" s="8"/>
      <c r="P35" s="8">
        <f t="shared" si="1"/>
        <v>612</v>
      </c>
      <c r="Q35" s="8">
        <f t="shared" si="5"/>
        <v>602</v>
      </c>
      <c r="R35" s="8"/>
      <c r="S35" s="11">
        <f t="shared" si="3"/>
        <v>602</v>
      </c>
    </row>
    <row r="36" spans="1:159">
      <c r="A36" s="14"/>
      <c r="B36" s="15" t="s">
        <v>23</v>
      </c>
      <c r="C36" s="8">
        <v>58733</v>
      </c>
      <c r="D36" s="8">
        <v>1573</v>
      </c>
      <c r="E36" s="9">
        <v>922</v>
      </c>
      <c r="F36" s="8">
        <v>2495</v>
      </c>
      <c r="G36" s="8">
        <v>1573</v>
      </c>
      <c r="H36" s="9">
        <v>922</v>
      </c>
      <c r="I36" s="11">
        <v>2495</v>
      </c>
      <c r="J36" s="33"/>
      <c r="K36" s="14"/>
      <c r="L36" s="15" t="s">
        <v>23</v>
      </c>
      <c r="M36" s="8">
        <v>58733</v>
      </c>
      <c r="N36" s="8">
        <f t="shared" si="4"/>
        <v>2038</v>
      </c>
      <c r="O36" s="8"/>
      <c r="P36" s="8">
        <f t="shared" si="1"/>
        <v>2038</v>
      </c>
      <c r="Q36" s="8">
        <f t="shared" si="5"/>
        <v>2005</v>
      </c>
      <c r="R36" s="8"/>
      <c r="S36" s="11">
        <f t="shared" si="3"/>
        <v>2005</v>
      </c>
      <c r="EA36" s="32" t="s">
        <v>863</v>
      </c>
    </row>
    <row r="37" spans="1:159">
      <c r="A37" s="598" t="s">
        <v>24</v>
      </c>
      <c r="B37" s="599"/>
      <c r="C37" s="8">
        <v>76980</v>
      </c>
      <c r="D37" s="9">
        <v>842</v>
      </c>
      <c r="E37" s="8">
        <v>2864</v>
      </c>
      <c r="F37" s="8">
        <v>3706</v>
      </c>
      <c r="G37" s="9">
        <v>842</v>
      </c>
      <c r="H37" s="8">
        <v>2863</v>
      </c>
      <c r="I37" s="11">
        <v>3705</v>
      </c>
      <c r="J37" s="33" t="s">
        <v>124</v>
      </c>
      <c r="K37" s="598" t="s">
        <v>144</v>
      </c>
      <c r="L37" s="599"/>
      <c r="M37" s="8">
        <v>76980</v>
      </c>
      <c r="N37" s="8">
        <f t="shared" si="4"/>
        <v>1091</v>
      </c>
      <c r="O37" s="8"/>
      <c r="P37" s="8">
        <f t="shared" si="1"/>
        <v>1091</v>
      </c>
      <c r="Q37" s="8">
        <f t="shared" si="5"/>
        <v>1073</v>
      </c>
      <c r="R37" s="8"/>
      <c r="S37" s="11">
        <f t="shared" si="3"/>
        <v>1073</v>
      </c>
      <c r="Z37" s="403"/>
      <c r="AA37" s="32" t="s">
        <v>851</v>
      </c>
      <c r="DZ37" s="279"/>
      <c r="EA37" s="279" t="s">
        <v>601</v>
      </c>
    </row>
    <row r="38" spans="1:159">
      <c r="A38" s="598" t="s">
        <v>25</v>
      </c>
      <c r="B38" s="599"/>
      <c r="C38" s="8">
        <v>11571</v>
      </c>
      <c r="D38" s="9">
        <v>265</v>
      </c>
      <c r="E38" s="8">
        <v>2250</v>
      </c>
      <c r="F38" s="8">
        <v>2515</v>
      </c>
      <c r="G38" s="9">
        <v>265</v>
      </c>
      <c r="H38" s="8">
        <v>2249</v>
      </c>
      <c r="I38" s="11">
        <v>2514</v>
      </c>
      <c r="J38" s="33" t="s">
        <v>129</v>
      </c>
      <c r="K38" s="598" t="s">
        <v>145</v>
      </c>
      <c r="L38" s="599"/>
      <c r="M38" s="8">
        <v>11571</v>
      </c>
      <c r="N38" s="9">
        <f t="shared" si="4"/>
        <v>344</v>
      </c>
      <c r="O38" s="8"/>
      <c r="P38" s="8">
        <f t="shared" si="1"/>
        <v>344</v>
      </c>
      <c r="Q38" s="9">
        <f t="shared" si="5"/>
        <v>338</v>
      </c>
      <c r="R38" s="8"/>
      <c r="S38" s="11">
        <f t="shared" si="3"/>
        <v>338</v>
      </c>
      <c r="DZ38" s="279" t="s">
        <v>602</v>
      </c>
      <c r="EA38" s="293">
        <v>1</v>
      </c>
    </row>
    <row r="39" spans="1:159" ht="17.5" thickBot="1">
      <c r="A39" s="600" t="s">
        <v>26</v>
      </c>
      <c r="B39" s="601"/>
      <c r="C39" s="16" t="s">
        <v>22</v>
      </c>
      <c r="D39" s="17">
        <v>31679</v>
      </c>
      <c r="E39" s="17">
        <v>35570</v>
      </c>
      <c r="F39" s="17">
        <v>67249</v>
      </c>
      <c r="G39" s="17">
        <v>31679</v>
      </c>
      <c r="H39" s="17">
        <v>35557</v>
      </c>
      <c r="I39" s="18">
        <v>67236</v>
      </c>
      <c r="K39" s="600" t="s">
        <v>26</v>
      </c>
      <c r="L39" s="601"/>
      <c r="M39" s="16" t="s">
        <v>22</v>
      </c>
      <c r="N39" s="17">
        <f t="shared" si="4"/>
        <v>41052</v>
      </c>
      <c r="O39" s="17"/>
      <c r="P39" s="17">
        <f t="shared" si="1"/>
        <v>41052</v>
      </c>
      <c r="Q39" s="17">
        <f t="shared" si="5"/>
        <v>40381</v>
      </c>
      <c r="R39" s="17"/>
      <c r="S39" s="18">
        <f t="shared" si="3"/>
        <v>40381</v>
      </c>
    </row>
    <row r="40" spans="1:159" ht="26" thickTop="1">
      <c r="A40" s="204"/>
      <c r="B40" s="19"/>
      <c r="C40" s="20"/>
      <c r="D40" s="21"/>
      <c r="E40" s="21"/>
      <c r="F40" s="21"/>
      <c r="G40" s="21"/>
      <c r="H40" s="21"/>
      <c r="I40" s="21"/>
      <c r="K40" s="19"/>
      <c r="L40" s="19"/>
      <c r="M40" s="20"/>
      <c r="N40" s="21"/>
      <c r="O40" s="21"/>
      <c r="P40" s="21"/>
      <c r="Q40" s="21"/>
      <c r="R40" s="21"/>
      <c r="S40" s="21"/>
      <c r="CS40" t="s">
        <v>487</v>
      </c>
      <c r="CV40" t="s">
        <v>560</v>
      </c>
    </row>
    <row r="41" spans="1:159" s="227" customFormat="1" ht="25.5">
      <c r="A41" s="285">
        <v>2025</v>
      </c>
      <c r="B41" s="282"/>
      <c r="C41" s="283"/>
      <c r="D41" s="284"/>
      <c r="E41" s="284"/>
      <c r="F41" s="284"/>
      <c r="G41" s="284"/>
      <c r="H41" s="284"/>
      <c r="I41" s="284"/>
      <c r="K41" s="282"/>
      <c r="L41" s="282"/>
      <c r="M41" s="283"/>
      <c r="N41" s="284"/>
      <c r="O41" s="284"/>
      <c r="P41" s="284"/>
      <c r="Q41" s="284"/>
      <c r="R41" s="284"/>
      <c r="S41" s="284"/>
    </row>
    <row r="42" spans="1:159" ht="23.5" thickBot="1">
      <c r="A42" s="32" t="s">
        <v>468</v>
      </c>
      <c r="C42" t="s">
        <v>463</v>
      </c>
      <c r="D42" t="s">
        <v>467</v>
      </c>
      <c r="E42" t="s">
        <v>470</v>
      </c>
      <c r="F42" t="s">
        <v>465</v>
      </c>
      <c r="G42" t="s">
        <v>466</v>
      </c>
      <c r="H42" t="s">
        <v>21</v>
      </c>
      <c r="K42" s="32" t="s">
        <v>471</v>
      </c>
      <c r="CV42" s="32" t="s">
        <v>492</v>
      </c>
      <c r="CY42" t="s">
        <v>478</v>
      </c>
      <c r="CZ42" t="s">
        <v>479</v>
      </c>
      <c r="EC42" s="353" t="s">
        <v>857</v>
      </c>
      <c r="EM42" s="353" t="s">
        <v>827</v>
      </c>
      <c r="EV42" s="353"/>
    </row>
    <row r="43" spans="1:159" ht="17.5" thickBot="1">
      <c r="A43" t="s">
        <v>462</v>
      </c>
      <c r="C43" t="s">
        <v>427</v>
      </c>
      <c r="D43" t="s">
        <v>428</v>
      </c>
      <c r="E43" t="s">
        <v>429</v>
      </c>
      <c r="F43" t="s">
        <v>430</v>
      </c>
      <c r="G43" t="s">
        <v>431</v>
      </c>
      <c r="H43" t="s">
        <v>457</v>
      </c>
      <c r="K43" s="159" t="s">
        <v>482</v>
      </c>
      <c r="L43" s="159"/>
      <c r="M43" s="538" t="s">
        <v>463</v>
      </c>
      <c r="N43" s="539"/>
      <c r="O43" s="539"/>
      <c r="P43" s="539"/>
      <c r="Q43" s="539"/>
      <c r="R43" s="539"/>
      <c r="S43" s="539"/>
      <c r="T43" s="539"/>
      <c r="U43" s="539"/>
      <c r="V43" s="539"/>
      <c r="W43" s="539"/>
      <c r="X43" s="539"/>
      <c r="Y43" s="539"/>
      <c r="Z43" s="540"/>
      <c r="AA43" s="538" t="s">
        <v>467</v>
      </c>
      <c r="AB43" s="539"/>
      <c r="AC43" s="539"/>
      <c r="AD43" s="539"/>
      <c r="AE43" s="539"/>
      <c r="AF43" s="539"/>
      <c r="AG43" s="539"/>
      <c r="AH43" s="539"/>
      <c r="AI43" s="539"/>
      <c r="AJ43" s="539"/>
      <c r="AK43" s="539"/>
      <c r="AL43" s="539"/>
      <c r="AM43" s="539"/>
      <c r="AN43" s="540"/>
      <c r="AO43" s="538" t="s">
        <v>464</v>
      </c>
      <c r="AP43" s="539"/>
      <c r="AQ43" s="539"/>
      <c r="AR43" s="539"/>
      <c r="AS43" s="539"/>
      <c r="AT43" s="539"/>
      <c r="AU43" s="539"/>
      <c r="AV43" s="539"/>
      <c r="AW43" s="539"/>
      <c r="AX43" s="539"/>
      <c r="AY43" s="539"/>
      <c r="AZ43" s="539"/>
      <c r="BA43" s="539"/>
      <c r="BB43" s="540"/>
      <c r="BC43" s="538" t="s">
        <v>465</v>
      </c>
      <c r="BD43" s="539"/>
      <c r="BE43" s="539"/>
      <c r="BF43" s="539"/>
      <c r="BG43" s="539"/>
      <c r="BH43" s="539"/>
      <c r="BI43" s="539"/>
      <c r="BJ43" s="539"/>
      <c r="BK43" s="539"/>
      <c r="BL43" s="539"/>
      <c r="BM43" s="539"/>
      <c r="BN43" s="539"/>
      <c r="BO43" s="539"/>
      <c r="BP43" s="540"/>
      <c r="BQ43" s="538" t="s">
        <v>466</v>
      </c>
      <c r="BR43" s="539"/>
      <c r="BS43" s="539"/>
      <c r="BT43" s="539"/>
      <c r="BU43" s="539"/>
      <c r="BV43" s="539"/>
      <c r="BW43" s="539"/>
      <c r="BX43" s="539"/>
      <c r="BY43" s="539"/>
      <c r="BZ43" s="539"/>
      <c r="CA43" s="539"/>
      <c r="CB43" s="539"/>
      <c r="CC43" s="539"/>
      <c r="CD43" s="540"/>
      <c r="CE43" s="538" t="s">
        <v>21</v>
      </c>
      <c r="CF43" s="539"/>
      <c r="CG43" s="539"/>
      <c r="CH43" s="539"/>
      <c r="CI43" s="539"/>
      <c r="CJ43" s="539"/>
      <c r="CK43" s="539"/>
      <c r="CL43" s="539"/>
      <c r="CM43" s="539"/>
      <c r="CN43" s="539"/>
      <c r="CO43" s="539"/>
      <c r="CP43" s="539"/>
      <c r="CQ43" s="539"/>
      <c r="CR43" s="540"/>
      <c r="CV43" s="263" t="s">
        <v>482</v>
      </c>
      <c r="CW43" s="263"/>
      <c r="CX43" s="541" t="s">
        <v>554</v>
      </c>
      <c r="CY43" s="541"/>
      <c r="CZ43" s="541"/>
      <c r="DA43" s="541"/>
      <c r="DB43" s="542" t="s">
        <v>553</v>
      </c>
      <c r="DC43" s="541"/>
      <c r="DD43" s="541"/>
      <c r="DE43" s="541"/>
      <c r="DF43" s="542" t="s">
        <v>464</v>
      </c>
      <c r="DG43" s="541"/>
      <c r="DH43" s="541"/>
      <c r="DI43" s="541"/>
      <c r="DJ43" s="542" t="s">
        <v>465</v>
      </c>
      <c r="DK43" s="541"/>
      <c r="DL43" s="541"/>
      <c r="DM43" s="541"/>
      <c r="DN43" s="542" t="s">
        <v>466</v>
      </c>
      <c r="DO43" s="541"/>
      <c r="DP43" s="541"/>
      <c r="DQ43" s="541"/>
      <c r="DR43" s="542" t="s">
        <v>21</v>
      </c>
      <c r="DS43" s="541"/>
      <c r="DT43" s="541"/>
      <c r="DU43" s="541"/>
      <c r="DW43" s="278"/>
      <c r="DX43" s="278"/>
      <c r="DY43" s="442" t="s">
        <v>588</v>
      </c>
      <c r="DZ43" s="442"/>
      <c r="EI43" t="s">
        <v>599</v>
      </c>
      <c r="ES43" t="s">
        <v>599</v>
      </c>
    </row>
    <row r="44" spans="1:159" ht="17" customHeight="1">
      <c r="A44" s="199"/>
      <c r="B44" s="199"/>
      <c r="C44" s="202" t="s">
        <v>463</v>
      </c>
      <c r="D44" s="202" t="s">
        <v>467</v>
      </c>
      <c r="E44" s="202" t="s">
        <v>464</v>
      </c>
      <c r="F44" s="202" t="s">
        <v>465</v>
      </c>
      <c r="G44" s="202" t="s">
        <v>466</v>
      </c>
      <c r="H44" s="202" t="s">
        <v>21</v>
      </c>
      <c r="K44" s="159"/>
      <c r="L44" s="159"/>
      <c r="M44" s="211" t="s">
        <v>472</v>
      </c>
      <c r="N44" s="160" t="s">
        <v>156</v>
      </c>
      <c r="O44" s="160" t="s">
        <v>475</v>
      </c>
      <c r="P44" s="160" t="s">
        <v>476</v>
      </c>
      <c r="Q44" s="160" t="s">
        <v>477</v>
      </c>
      <c r="R44" s="160" t="s">
        <v>478</v>
      </c>
      <c r="S44" s="160" t="s">
        <v>479</v>
      </c>
      <c r="T44" s="160" t="s">
        <v>480</v>
      </c>
      <c r="U44" s="160" t="s">
        <v>449</v>
      </c>
      <c r="V44" s="160" t="s">
        <v>157</v>
      </c>
      <c r="W44" s="160" t="s">
        <v>473</v>
      </c>
      <c r="X44" s="160" t="s">
        <v>474</v>
      </c>
      <c r="Y44" s="160" t="s">
        <v>46</v>
      </c>
      <c r="Z44" s="212" t="s">
        <v>11</v>
      </c>
      <c r="AA44" s="211" t="s">
        <v>472</v>
      </c>
      <c r="AB44" s="160" t="s">
        <v>156</v>
      </c>
      <c r="AC44" s="160" t="s">
        <v>475</v>
      </c>
      <c r="AD44" s="160" t="s">
        <v>476</v>
      </c>
      <c r="AE44" s="160" t="s">
        <v>477</v>
      </c>
      <c r="AF44" s="160" t="s">
        <v>478</v>
      </c>
      <c r="AG44" s="160" t="s">
        <v>479</v>
      </c>
      <c r="AH44" s="160" t="s">
        <v>480</v>
      </c>
      <c r="AI44" s="160" t="s">
        <v>449</v>
      </c>
      <c r="AJ44" s="160" t="s">
        <v>157</v>
      </c>
      <c r="AK44" s="160" t="s">
        <v>473</v>
      </c>
      <c r="AL44" s="160" t="s">
        <v>474</v>
      </c>
      <c r="AM44" s="160" t="s">
        <v>46</v>
      </c>
      <c r="AN44" s="212" t="s">
        <v>11</v>
      </c>
      <c r="AO44" s="211" t="s">
        <v>472</v>
      </c>
      <c r="AP44" s="160" t="s">
        <v>156</v>
      </c>
      <c r="AQ44" s="160" t="s">
        <v>475</v>
      </c>
      <c r="AR44" s="160" t="s">
        <v>476</v>
      </c>
      <c r="AS44" s="160" t="s">
        <v>477</v>
      </c>
      <c r="AT44" s="160" t="s">
        <v>478</v>
      </c>
      <c r="AU44" s="160" t="s">
        <v>479</v>
      </c>
      <c r="AV44" s="160" t="s">
        <v>480</v>
      </c>
      <c r="AW44" s="160" t="s">
        <v>449</v>
      </c>
      <c r="AX44" s="160" t="s">
        <v>157</v>
      </c>
      <c r="AY44" s="160" t="s">
        <v>473</v>
      </c>
      <c r="AZ44" s="160" t="s">
        <v>474</v>
      </c>
      <c r="BA44" s="160" t="s">
        <v>46</v>
      </c>
      <c r="BB44" s="212" t="s">
        <v>11</v>
      </c>
      <c r="BC44" s="211" t="s">
        <v>472</v>
      </c>
      <c r="BD44" s="160" t="s">
        <v>156</v>
      </c>
      <c r="BE44" s="160" t="s">
        <v>475</v>
      </c>
      <c r="BF44" s="160" t="s">
        <v>476</v>
      </c>
      <c r="BG44" s="160" t="s">
        <v>477</v>
      </c>
      <c r="BH44" s="160" t="s">
        <v>478</v>
      </c>
      <c r="BI44" s="160" t="s">
        <v>479</v>
      </c>
      <c r="BJ44" s="160" t="s">
        <v>480</v>
      </c>
      <c r="BK44" s="160" t="s">
        <v>449</v>
      </c>
      <c r="BL44" s="160" t="s">
        <v>157</v>
      </c>
      <c r="BM44" s="160" t="s">
        <v>473</v>
      </c>
      <c r="BN44" s="160" t="s">
        <v>474</v>
      </c>
      <c r="BO44" s="160" t="s">
        <v>46</v>
      </c>
      <c r="BP44" s="212" t="s">
        <v>11</v>
      </c>
      <c r="BQ44" s="211" t="s">
        <v>472</v>
      </c>
      <c r="BR44" s="160" t="s">
        <v>156</v>
      </c>
      <c r="BS44" s="160" t="s">
        <v>475</v>
      </c>
      <c r="BT44" s="160" t="s">
        <v>476</v>
      </c>
      <c r="BU44" s="160" t="s">
        <v>477</v>
      </c>
      <c r="BV44" s="160" t="s">
        <v>478</v>
      </c>
      <c r="BW44" s="160" t="s">
        <v>479</v>
      </c>
      <c r="BX44" s="160" t="s">
        <v>480</v>
      </c>
      <c r="BY44" s="160" t="s">
        <v>449</v>
      </c>
      <c r="BZ44" s="160" t="s">
        <v>157</v>
      </c>
      <c r="CA44" s="160" t="s">
        <v>473</v>
      </c>
      <c r="CB44" s="160" t="s">
        <v>474</v>
      </c>
      <c r="CC44" s="160" t="s">
        <v>46</v>
      </c>
      <c r="CD44" s="212" t="s">
        <v>11</v>
      </c>
      <c r="CE44" s="211" t="s">
        <v>472</v>
      </c>
      <c r="CF44" s="160" t="s">
        <v>156</v>
      </c>
      <c r="CG44" s="160" t="s">
        <v>475</v>
      </c>
      <c r="CH44" s="160" t="s">
        <v>476</v>
      </c>
      <c r="CI44" s="160" t="s">
        <v>477</v>
      </c>
      <c r="CJ44" s="160" t="s">
        <v>478</v>
      </c>
      <c r="CK44" s="160" t="s">
        <v>479</v>
      </c>
      <c r="CL44" s="160" t="s">
        <v>480</v>
      </c>
      <c r="CM44" s="160" t="s">
        <v>449</v>
      </c>
      <c r="CN44" s="160" t="s">
        <v>157</v>
      </c>
      <c r="CO44" s="160" t="s">
        <v>473</v>
      </c>
      <c r="CP44" s="160" t="s">
        <v>474</v>
      </c>
      <c r="CQ44" s="160" t="s">
        <v>46</v>
      </c>
      <c r="CR44" s="212" t="s">
        <v>11</v>
      </c>
      <c r="CV44" s="263"/>
      <c r="CW44" s="263"/>
      <c r="CX44" s="264" t="s">
        <v>156</v>
      </c>
      <c r="CY44" s="264" t="s">
        <v>478</v>
      </c>
      <c r="CZ44" s="264" t="s">
        <v>479</v>
      </c>
      <c r="DA44" s="264" t="s">
        <v>157</v>
      </c>
      <c r="DB44" s="264" t="s">
        <v>156</v>
      </c>
      <c r="DC44" s="264" t="s">
        <v>478</v>
      </c>
      <c r="DD44" s="264" t="s">
        <v>479</v>
      </c>
      <c r="DE44" s="264" t="s">
        <v>157</v>
      </c>
      <c r="DF44" s="264" t="s">
        <v>156</v>
      </c>
      <c r="DG44" s="264" t="s">
        <v>478</v>
      </c>
      <c r="DH44" s="264" t="s">
        <v>479</v>
      </c>
      <c r="DI44" s="264" t="s">
        <v>157</v>
      </c>
      <c r="DJ44" s="264" t="s">
        <v>156</v>
      </c>
      <c r="DK44" s="264" t="s">
        <v>478</v>
      </c>
      <c r="DL44" s="264" t="s">
        <v>479</v>
      </c>
      <c r="DM44" s="264" t="s">
        <v>157</v>
      </c>
      <c r="DN44" s="264" t="s">
        <v>156</v>
      </c>
      <c r="DO44" s="264" t="s">
        <v>478</v>
      </c>
      <c r="DP44" s="264" t="s">
        <v>479</v>
      </c>
      <c r="DQ44" s="264" t="s">
        <v>157</v>
      </c>
      <c r="DR44" s="264" t="s">
        <v>156</v>
      </c>
      <c r="DS44" s="264" t="s">
        <v>478</v>
      </c>
      <c r="DT44" s="264" t="s">
        <v>479</v>
      </c>
      <c r="DU44" s="264" t="s">
        <v>157</v>
      </c>
      <c r="DW44" s="278"/>
      <c r="DX44" s="278"/>
      <c r="DY44" s="280" t="s">
        <v>586</v>
      </c>
      <c r="DZ44" s="280" t="s">
        <v>587</v>
      </c>
      <c r="EC44" s="412" t="s">
        <v>564</v>
      </c>
      <c r="ED44" s="412" t="s">
        <v>565</v>
      </c>
      <c r="EE44" s="412" t="s">
        <v>566</v>
      </c>
      <c r="EF44" s="412" t="s">
        <v>562</v>
      </c>
      <c r="EG44" s="417" t="s">
        <v>597</v>
      </c>
      <c r="EH44" s="418" t="s">
        <v>585</v>
      </c>
      <c r="EI44" s="419" t="s">
        <v>259</v>
      </c>
      <c r="EJ44" s="377" t="s">
        <v>821</v>
      </c>
      <c r="EM44" s="278" t="s">
        <v>564</v>
      </c>
      <c r="EN44" s="278" t="s">
        <v>565</v>
      </c>
      <c r="EO44" s="278" t="s">
        <v>566</v>
      </c>
      <c r="EP44" s="278" t="s">
        <v>562</v>
      </c>
      <c r="EQ44" s="286" t="s">
        <v>597</v>
      </c>
      <c r="ER44" s="287" t="s">
        <v>585</v>
      </c>
      <c r="ES44" s="288" t="s">
        <v>604</v>
      </c>
      <c r="ET44" s="377" t="s">
        <v>821</v>
      </c>
      <c r="EV44" s="34"/>
      <c r="EW44" s="34"/>
      <c r="EX44" s="34"/>
      <c r="EY44" s="34"/>
      <c r="EZ44" s="375"/>
      <c r="FA44" s="376"/>
      <c r="FB44" s="377"/>
      <c r="FC44" s="377"/>
    </row>
    <row r="45" spans="1:159" ht="16.5" customHeight="1">
      <c r="A45" s="205"/>
      <c r="B45" s="205" t="s">
        <v>12</v>
      </c>
      <c r="C45" s="400">
        <f>'A.일산테크노밸리(859991)_수정'!$P28*KTDB_TripDistribution_2045!L$12 * (1 + KTDB_발생량도착량_증가율!$D$7*5) * (1 + KTDB_발생량도착량_증가율!$E$7*5) * (1 + KTDB_발생량도착량_증가율!$F$7*5) * (1 + KTDB_발생량도착량_증가율!$G$7*5)</f>
        <v>16.845979682315772</v>
      </c>
      <c r="D45" s="400">
        <f>'A.일산테크노밸리(859991)_수정'!$P28*KTDB_TripDistribution_2045!M$12 * (1 + KTDB_발생량도착량_증가율!$D$7*5) * (1 + KTDB_발생량도착량_증가율!$E$7*5) * (1 + KTDB_발생량도착량_증가율!$F$7*5) * (1 + KTDB_발생량도착량_증가율!$G$7*5)</f>
        <v>130.99658449023042</v>
      </c>
      <c r="E45" s="400">
        <f>'A.일산테크노밸리(859991)_수정'!$P28*KTDB_TripDistribution_2045!N$12 * (1 + KTDB_발생량도착량_증가율!$D$7*5) * (1 + KTDB_발생량도착량_증가율!$E$7*5) * (1 + KTDB_발생량도착량_증가율!$F$7*5) * (1 + KTDB_발생량도착량_증가율!$G$7*5)</f>
        <v>5.806469862458874</v>
      </c>
      <c r="F45" s="400">
        <f>'A.일산테크노밸리(859991)_수정'!$P28*KTDB_TripDistribution_2045!O$12 * (1 + KTDB_발생량도착량_증가율!$D$7*5) * (1 + KTDB_발생량도착량_증가율!$E$7*5) * (1 + KTDB_발생량도착량_증가율!$F$7*5) * (1 + KTDB_발생량도착량_증가율!$G$7*5)</f>
        <v>1.5746358949041049E-2</v>
      </c>
      <c r="G45" s="400">
        <f>'A.일산테크노밸리(859991)_수정'!$P28*KTDB_TripDistribution_2045!P$12 * (1 + KTDB_발생량도착량_증가율!$D$7*5) * (1 + KTDB_발생량도착량_증가율!$E$7*5) * (1 + KTDB_발생량도착량_증가율!$F$7*5) * (1 + KTDB_발생량도착량_증가율!$G$7*5)</f>
        <v>4.461468368894949E-2</v>
      </c>
      <c r="H45" s="400">
        <f>'A.일산테크노밸리(859991)_수정'!$P28*KTDB_TripDistribution_2045!Q$12 * (1 + KTDB_발생량도착량_증가율!$D$7*5) * (1 + KTDB_발생량도착량_증가율!$E$7*5) * (1 + KTDB_발생량도착량_증가율!$F$7*5) * (1 + KTDB_발생량도착량_증가율!$G$7*5)</f>
        <v>153.70939507764305</v>
      </c>
      <c r="J45" s="230">
        <f t="shared" ref="J45:J56" si="6">CR45</f>
        <v>153.70939507764305</v>
      </c>
      <c r="K45" s="206"/>
      <c r="L45" s="209" t="s">
        <v>12</v>
      </c>
      <c r="M45" s="213">
        <f>INDEX($A$44:$H$56,MATCH($L45,$B$44:$B$56,0),MATCH($M$43,$A$44:$H$44,0))*고양시_Modal_split!C$3 * 0.01</f>
        <v>4.7168743110484156E-2</v>
      </c>
      <c r="N45" s="207">
        <f>INDEX($A$44:$H$56,MATCH($L45,$B$44:$B$56,0),MATCH($M$43,$A$44:$H$44,0))*고양시_Modal_split!D$3 * 0.01</f>
        <v>7.9226642445931077</v>
      </c>
      <c r="O45" s="207">
        <f>INDEX($A$44:$H$56,MATCH($L45,$B$44:$B$56,0),MATCH($M$43,$A$44:$H$44,0))*고양시_Modal_split!E$3 * 0.01</f>
        <v>0.95853624392376735</v>
      </c>
      <c r="P45" s="207">
        <f>INDEX($A$44:$H$56,MATCH($L45,$B$44:$B$56,0),MATCH($M$43,$A$44:$H$44,0))*고양시_Modal_split!F$3 * 0.01</f>
        <v>1.5447763368683562</v>
      </c>
      <c r="Q45" s="207">
        <f>INDEX($A$44:$H$56,MATCH($L45,$B$44:$B$56,0),MATCH($M$43,$A$44:$H$44,0))*고양시_Modal_split!G$3 * 0.01</f>
        <v>0.15498301307730508</v>
      </c>
      <c r="R45" s="207">
        <f>INDEX($A$44:$H$56,MATCH($L45,$B$44:$B$56,0),MATCH($M$43,$A$44:$H$44,0))*고양시_Modal_split!H$3 * 0.01</f>
        <v>1.6845979682315773E-3</v>
      </c>
      <c r="S45" s="207">
        <f>INDEX($A$44:$H$56,MATCH($L45,$B$44:$B$56,0),MATCH($M$43,$A$44:$H$44,0))*고양시_Modal_split!I$3 * 0.01</f>
        <v>0.46831823516837845</v>
      </c>
      <c r="T45" s="207">
        <f>INDEX($A$44:$H$56,MATCH($L45,$B$44:$B$56,0),MATCH($M$43,$A$44:$H$44,0))*고양시_Modal_split!J$3 * 0.01</f>
        <v>5.1279162152969207</v>
      </c>
      <c r="U45" s="207">
        <f>INDEX($A$44:$H$56,MATCH($L45,$B$44:$B$56,0),MATCH($M$43,$A$44:$H$44,0))*고양시_Modal_split!K$3 * 0.01</f>
        <v>2.5268969523473656E-2</v>
      </c>
      <c r="V45" s="207">
        <f>INDEX($A$44:$H$56,MATCH($L45,$B$44:$B$56,0),MATCH($M$43,$A$44:$H$44,0))*고양시_Modal_split!L$3 * 0.01</f>
        <v>0.50874858640593634</v>
      </c>
      <c r="W45" s="207">
        <f>INDEX($A$44:$H$56,MATCH($L45,$B$44:$B$56,0),MATCH($M$43,$A$44:$H$44,0))*고양시_Modal_split!M$3 * 0.01</f>
        <v>3.874575326932627E-2</v>
      </c>
      <c r="X45" s="207">
        <f>INDEX($A$44:$H$56,MATCH($L45,$B$44:$B$56,0),MATCH($M$43,$A$44:$H$44,0))*고양시_Modal_split!N$3 * 0.01</f>
        <v>1.6845979682315774E-2</v>
      </c>
      <c r="Y45" s="207">
        <f>INDEX($A$44:$H$56,MATCH($L45,$B$44:$B$56,0),MATCH($M$43,$A$44:$H$44,0))*고양시_Modal_split!O$3 * 0.01</f>
        <v>3.0322763428168389E-2</v>
      </c>
      <c r="Z45" s="214">
        <f>INDEX($A$44:$H$56,MATCH($L45,$B$44:$B$56,0),MATCH($M$43,$A$44:$H$44,0))*고양시_Modal_split!P$3 * 0.01</f>
        <v>16.845979682315772</v>
      </c>
      <c r="AA45" s="213">
        <f>INDEX($A$44:$H$56,MATCH($L45,$B$44:$B$56,0),MATCH($AA$43,$A$44:$H$44,0))*고양시_Modal_split!C$4 * 0.01</f>
        <v>39.875360318826147</v>
      </c>
      <c r="AB45" s="207">
        <f>INDEX($A$44:$H$56,MATCH($L45,$B$44:$B$56,0),MATCH($AA$43,$A$44:$H$44,0))*고양시_Modal_split!D$4 * 0.01</f>
        <v>42.010604646016901</v>
      </c>
      <c r="AC45" s="207">
        <f>INDEX($A$44:$H$56,MATCH($L45,$B$44:$B$56,0),MATCH($AA$43,$A$44:$H$44,0))*고양시_Modal_split!E$4 * 0.01</f>
        <v>10.178434614890904</v>
      </c>
      <c r="AD45" s="207">
        <f>INDEX($A$44:$H$56,MATCH($L45,$B$44:$B$56,0),MATCH($AA$43,$A$44:$H$44,0))*고양시_Modal_split!F$4 * 0.01</f>
        <v>1.2444675526571889</v>
      </c>
      <c r="AE45" s="207">
        <f>INDEX($A$44:$H$56,MATCH($L45,$B$44:$B$56,0),MATCH($AA$43,$A$44:$H$44,0))*고양시_Modal_split!G$4 * 0.01</f>
        <v>15.339700043805982</v>
      </c>
      <c r="AF45" s="207">
        <f>INDEX($A$44:$H$56,MATCH($L45,$B$44:$B$56,0),MATCH($AA$43,$A$44:$H$44,0))*고양시_Modal_split!H$4 * 0.01</f>
        <v>0</v>
      </c>
      <c r="AG45" s="207">
        <f>INDEX($A$44:$H$56,MATCH($L45,$B$44:$B$56,0),MATCH($AA$43,$A$44:$H$44,0))*고양시_Modal_split!I$4 * 0.01</f>
        <v>4.5586811402600187</v>
      </c>
      <c r="AH45" s="207">
        <f>INDEX($A$44:$H$56,MATCH($L45,$B$44:$B$56,0),MATCH($AA$43,$A$44:$H$44,0))*고양시_Modal_split!J$4 * 0.01</f>
        <v>6.169939129489852</v>
      </c>
      <c r="AI45" s="207">
        <f>INDEX($A$44:$H$56,MATCH($L45,$B$44:$B$56,0),MATCH($AA$43,$A$44:$H$44,0))*고양시_Modal_split!K$4 * 0.01</f>
        <v>0</v>
      </c>
      <c r="AJ45" s="207">
        <f>INDEX($A$44:$H$56,MATCH($L45,$B$44:$B$56,0),MATCH($AA$43,$A$44:$H$44,0))*고양시_Modal_split!L$4 * 0.01</f>
        <v>6.0520422034486456</v>
      </c>
      <c r="AK45" s="207">
        <f>INDEX($A$44:$H$56,MATCH($L45,$B$44:$B$56,0),MATCH($AA$43,$A$44:$H$44,0))*고양시_Modal_split!M$4 * 0.01</f>
        <v>0.87767711608454391</v>
      </c>
      <c r="AL45" s="207">
        <f>INDEX($A$44:$H$56,MATCH($L45,$B$44:$B$56,0),MATCH($AA$43,$A$44:$H$44,0))*고양시_Modal_split!N$4 * 0.01</f>
        <v>3.2749146122557602</v>
      </c>
      <c r="AM45" s="207">
        <f>INDEX($A$44:$H$56,MATCH($L45,$B$44:$B$56,0),MATCH($AA$43,$A$44:$H$44,0))*고양시_Modal_split!O$4 * 0.01</f>
        <v>1.4147631124944886</v>
      </c>
      <c r="AN45" s="214">
        <f>INDEX($A$44:$H$56,MATCH($L45,$B$44:$B$56,0),MATCH($AA$43,$A$44:$H$44,0))*고양시_Modal_split!P$4 * 0.01</f>
        <v>130.99658449023042</v>
      </c>
      <c r="AO45" s="213">
        <f>INDEX($A$44:$H$56,MATCH($L45,$B$44:$B$56,0),MATCH($AO$43,$A$44:$H$44,0))*고양시_Modal_split!C$5 * 0.01</f>
        <v>3.4838819174753243E-3</v>
      </c>
      <c r="AP45" s="207">
        <f>INDEX($A$44:$H$56,MATCH($L45,$B$44:$B$56,0),MATCH($AO$43,$A$44:$H$44,0))*고양시_Modal_split!D$5 * 0.01</f>
        <v>4.2549811152098629</v>
      </c>
      <c r="AQ45" s="207">
        <f>INDEX($A$44:$H$56,MATCH($L45,$B$44:$B$56,0),MATCH($AO$43,$A$44:$H$44,0))*고양시_Modal_split!E$5 * 0.01</f>
        <v>0.57193728145219913</v>
      </c>
      <c r="AR45" s="207">
        <f>INDEX($A$44:$H$56,MATCH($L45,$B$44:$B$56,0),MATCH($AO$43,$A$44:$H$44,0))*고양시_Modal_split!F$5 * 0.01</f>
        <v>0.12193586711163637</v>
      </c>
      <c r="AS45" s="207">
        <f>INDEX($A$44:$H$56,MATCH($L45,$B$44:$B$56,0),MATCH($AO$43,$A$44:$H$44,0))*고양시_Modal_split!G$5 * 0.01</f>
        <v>3.7742054105982685E-2</v>
      </c>
      <c r="AT45" s="207">
        <f>INDEX($A$44:$H$56,MATCH($L45,$B$44:$B$56,0),MATCH($AO$43,$A$44:$H$44,0))*고양시_Modal_split!H$5 * 0.01</f>
        <v>4.0645289037212111E-3</v>
      </c>
      <c r="AU45" s="207">
        <f>INDEX($A$44:$H$56,MATCH($L45,$B$44:$B$56,0),MATCH($AO$43,$A$44:$H$44,0))*고양시_Modal_split!I$5 * 0.01</f>
        <v>0.16083921519011082</v>
      </c>
      <c r="AV45" s="207">
        <f>INDEX($A$44:$H$56,MATCH($L45,$B$44:$B$56,0),MATCH($AO$43,$A$44:$H$44,0))*고양시_Modal_split!J$5 * 0.01</f>
        <v>0.36406566037617138</v>
      </c>
      <c r="AW45" s="207">
        <f>INDEX($A$44:$H$56,MATCH($L45,$B$44:$B$56,0),MATCH($AO$43,$A$44:$H$44,0))*고양시_Modal_split!K$5 * 0.01</f>
        <v>1.1612939724917749E-3</v>
      </c>
      <c r="AX45" s="207">
        <f>INDEX($A$44:$H$56,MATCH($L45,$B$44:$B$56,0),MATCH($AO$43,$A$44:$H$44,0))*고양시_Modal_split!L$5 * 0.01</f>
        <v>0.14806498149270128</v>
      </c>
      <c r="AY45" s="207">
        <f>INDEX($A$44:$H$56,MATCH($L45,$B$44:$B$56,0),MATCH($AO$43,$A$44:$H$44,0))*고양시_Modal_split!M$5 * 0.01</f>
        <v>3.890334807847446E-2</v>
      </c>
      <c r="AZ45" s="207">
        <f>INDEX($A$44:$H$56,MATCH($L45,$B$44:$B$56,0),MATCH($AO$43,$A$44:$H$44,0))*고양시_Modal_split!N$5 * 0.01</f>
        <v>9.8709987661800853E-3</v>
      </c>
      <c r="BA45" s="207">
        <f>INDEX($A$44:$H$56,MATCH($L45,$B$44:$B$56,0),MATCH($AO$43,$A$44:$H$44,0))*고양시_Modal_split!O$5 * 0.01</f>
        <v>8.9419635881866674E-2</v>
      </c>
      <c r="BB45" s="214">
        <f>INDEX($A$44:$H$56,MATCH($L45,$B$44:$B$56,0),MATCH($AO$43,$A$44:$H$44,0))*고양시_Modal_split!P$5 * 0.01</f>
        <v>5.8064698624588731</v>
      </c>
      <c r="BC45" s="213">
        <f>INDEX($A$44:$H$56,MATCH($L45,$B$44:$B$56,0),MATCH($BC$43,$A$44:$H$44,0))*고양시_Modal_split!C$6 * 0.01</f>
        <v>0</v>
      </c>
      <c r="BD45" s="207">
        <f>INDEX($A$44:$H$56,MATCH($L45,$B$44:$B$56,0),MATCH($BC$43,$A$44:$H$44,0))*고양시_Modal_split!D$6 * 0.01</f>
        <v>1.303955984570089E-2</v>
      </c>
      <c r="BE45" s="207">
        <f>INDEX($A$44:$H$56,MATCH($L45,$B$44:$B$56,0),MATCH($BC$43,$A$44:$H$44,0))*고양시_Modal_split!E$6 * 0.01</f>
        <v>6.7709343480876511E-5</v>
      </c>
      <c r="BF45" s="207">
        <f>INDEX($A$44:$H$56,MATCH($L45,$B$44:$B$56,0),MATCH($BC$43,$A$44:$H$44,0))*고양시_Modal_split!F$6 * 0.01</f>
        <v>1.9210557917830078E-4</v>
      </c>
      <c r="BG45" s="207">
        <f>INDEX($A$44:$H$56,MATCH($L45,$B$44:$B$56,0),MATCH($BC$43,$A$44:$H$44,0))*고양시_Modal_split!G$6 * 0.01</f>
        <v>0</v>
      </c>
      <c r="BH45" s="207">
        <f>INDEX($A$44:$H$56,MATCH($L45,$B$44:$B$56,0),MATCH($BC$43,$A$44:$H$44,0))*고양시_Modal_split!H$6 * 0.01</f>
        <v>8.3613166019407979E-4</v>
      </c>
      <c r="BI45" s="207">
        <f>INDEX($A$44:$H$56,MATCH($L45,$B$44:$B$56,0),MATCH($BC$43,$A$44:$H$44,0))*고양시_Modal_split!I$6 * 0.01</f>
        <v>5.5742110679605312E-4</v>
      </c>
      <c r="BJ45" s="207">
        <f>INDEX($A$44:$H$56,MATCH($L45,$B$44:$B$56,0),MATCH($BC$43,$A$44:$H$44,0))*고양시_Modal_split!J$6 * 0.01</f>
        <v>7.7787013208262777E-4</v>
      </c>
      <c r="BK45" s="207">
        <f>INDEX($A$44:$H$56,MATCH($L45,$B$44:$B$56,0),MATCH($BC$43,$A$44:$H$44,0))*고양시_Modal_split!K$6 * 0.01</f>
        <v>0</v>
      </c>
      <c r="BL45" s="207">
        <f>INDEX($A$44:$H$56,MATCH($L45,$B$44:$B$56,0),MATCH($BC$43,$A$44:$H$44,0))*고양시_Modal_split!L$6 * 0.01</f>
        <v>1.1967232801271198E-4</v>
      </c>
      <c r="BM45" s="207">
        <f>INDEX($A$44:$H$56,MATCH($L45,$B$44:$B$56,0),MATCH($BC$43,$A$44:$H$44,0))*고양시_Modal_split!M$6 * 0.01</f>
        <v>1.4329186643627357E-4</v>
      </c>
      <c r="BN45" s="207">
        <f>INDEX($A$44:$H$56,MATCH($L45,$B$44:$B$56,0),MATCH($BC$43,$A$44:$H$44,0))*고양시_Modal_split!N$6 * 0.01</f>
        <v>0</v>
      </c>
      <c r="BO45" s="207">
        <f>INDEX($A$44:$H$56,MATCH($L45,$B$44:$B$56,0),MATCH($BC$43,$A$44:$H$44,0))*고양시_Modal_split!O$6 * 0.01</f>
        <v>1.2597087159232841E-5</v>
      </c>
      <c r="BP45" s="214">
        <f>INDEX($A$44:$H$56,MATCH($L45,$B$44:$B$56,0),MATCH($BC$43,$A$44:$H$44,0))*고양시_Modal_split!P$6 * 0.01</f>
        <v>1.5746358949041049E-2</v>
      </c>
      <c r="BQ45" s="213">
        <f>INDEX($A$44:$H$56,MATCH($L45,$B$44:$B$56,0),MATCH($BQ$43,$A$44:$H$44,0))*고양시_Modal_split!C$7 * 0.01</f>
        <v>0</v>
      </c>
      <c r="BR45" s="207">
        <f>INDEX($A$44:$H$56,MATCH($L45,$B$44:$B$56,0),MATCH($BQ$43,$A$44:$H$44,0))*고양시_Modal_split!D$7 * 0.01</f>
        <v>2.7339878164588251E-2</v>
      </c>
      <c r="BS45" s="207">
        <f>INDEX($A$44:$H$56,MATCH($L45,$B$44:$B$56,0),MATCH($BQ$43,$A$44:$H$44,0))*고양시_Modal_split!E$7 * 0.01</f>
        <v>1.3339790422995895E-3</v>
      </c>
      <c r="BT45" s="207">
        <f>INDEX($A$44:$H$56,MATCH($L45,$B$44:$B$56,0),MATCH($BQ$43,$A$44:$H$44,0))*고양시_Modal_split!F$7 * 0.01</f>
        <v>4.461468368894949E-4</v>
      </c>
      <c r="BU45" s="207">
        <f>INDEX($A$44:$H$56,MATCH($L45,$B$44:$B$56,0),MATCH($BQ$43,$A$44:$H$44,0))*고양시_Modal_split!G$7 * 0.01</f>
        <v>1.8738167149358787E-4</v>
      </c>
      <c r="BV45" s="207">
        <f>INDEX($A$44:$H$56,MATCH($L45,$B$44:$B$56,0),MATCH($BQ$43,$A$44:$H$44,0))*고양시_Modal_split!H$7 * 0.01</f>
        <v>2.4939608182122765E-3</v>
      </c>
      <c r="BW45" s="207">
        <f>INDEX($A$44:$H$56,MATCH($L45,$B$44:$B$56,0),MATCH($BQ$43,$A$44:$H$44,0))*고양시_Modal_split!I$7 * 0.01</f>
        <v>8.3295614447268709E-3</v>
      </c>
      <c r="BX45" s="207">
        <f>INDEX($A$44:$H$56,MATCH($L45,$B$44:$B$56,0),MATCH($BQ$43,$A$44:$H$44,0))*고양시_Modal_split!J$7 * 0.01</f>
        <v>8.9229367377898975E-6</v>
      </c>
      <c r="BY45" s="207">
        <f>INDEX($A$44:$H$56,MATCH($L45,$B$44:$B$56,0),MATCH($BQ$43,$A$44:$H$44,0))*고양시_Modal_split!K$7 * 0.01</f>
        <v>3.4353306440491112E-3</v>
      </c>
      <c r="BZ45" s="207">
        <f>INDEX($A$44:$H$56,MATCH($L45,$B$44:$B$56,0),MATCH($BQ$43,$A$44:$H$44,0))*고양시_Modal_split!L$7 * 0.01</f>
        <v>3.1230278582264642E-5</v>
      </c>
      <c r="CA45" s="207">
        <f>INDEX($A$44:$H$56,MATCH($L45,$B$44:$B$56,0),MATCH($BQ$43,$A$44:$H$44,0))*고양시_Modal_split!M$7 * 0.01</f>
        <v>8.3429458498335556E-4</v>
      </c>
      <c r="CB45" s="207">
        <f>INDEX($A$44:$H$56,MATCH($L45,$B$44:$B$56,0),MATCH($BQ$43,$A$44:$H$44,0))*고양시_Modal_split!N$7 * 0.01</f>
        <v>1.73997266386903E-4</v>
      </c>
      <c r="CC45" s="207">
        <f>INDEX($A$44:$H$56,MATCH($L45,$B$44:$B$56,0),MATCH($BQ$43,$A$44:$H$44,0))*고양시_Modal_split!O$7 * 0.01</f>
        <v>0</v>
      </c>
      <c r="CD45" s="214">
        <f>INDEX($A$44:$H$56,MATCH($L45,$B$44:$B$56,0),MATCH($BQ$43,$A$44:$H$44,0))*고양시_Modal_split!P$7 * 0.01</f>
        <v>4.461468368894949E-2</v>
      </c>
      <c r="CE45" s="218">
        <f>M45+AA45+AO45+BC45+BQ45</f>
        <v>39.926012943854104</v>
      </c>
      <c r="CF45" s="208">
        <f t="shared" ref="CF45:CF56" si="7">N45+AB45+AP45+BD45+BR45</f>
        <v>54.228629443830165</v>
      </c>
      <c r="CG45" s="208">
        <f t="shared" ref="CG45:CG56" si="8">O45+AC45+AQ45+BE45+BS45</f>
        <v>11.710309828652651</v>
      </c>
      <c r="CH45" s="208">
        <f t="shared" ref="CH45:CH56" si="9">P45+AD45+AR45+BF45+BT45</f>
        <v>2.9118180090532495</v>
      </c>
      <c r="CI45" s="208">
        <f t="shared" ref="CI45:CI56" si="10">Q45+AE45+AS45+BG45+BU45</f>
        <v>15.532612492660762</v>
      </c>
      <c r="CJ45" s="208">
        <f t="shared" ref="CJ45:CJ56" si="11">R45+AF45+AT45+BH45+BV45</f>
        <v>9.079219350359144E-3</v>
      </c>
      <c r="CK45" s="208">
        <f t="shared" ref="CK45:CK56" si="12">S45+AG45+AU45+BI45+BW45</f>
        <v>5.1967255731700313</v>
      </c>
      <c r="CL45" s="208">
        <f t="shared" ref="CL45:CL56" si="13">T45+AH45+AV45+BJ45+BX45</f>
        <v>11.662707798231764</v>
      </c>
      <c r="CM45" s="208">
        <f t="shared" ref="CM45:CM56" si="14">U45+AI45+AW45+BK45+BY45</f>
        <v>2.9865594140014544E-2</v>
      </c>
      <c r="CN45" s="208">
        <f t="shared" ref="CN45:CN56" si="15">V45+AJ45+AX45+BL45+BZ45</f>
        <v>6.7090066739538772</v>
      </c>
      <c r="CO45" s="208">
        <f t="shared" ref="CO45:CO56" si="16">W45+AK45+AY45+BM45+CA45</f>
        <v>0.95630380388376435</v>
      </c>
      <c r="CP45" s="208">
        <f t="shared" ref="CP45:CP56" si="17">X45+AL45+AZ45+BN45+CB45</f>
        <v>3.3018055879706432</v>
      </c>
      <c r="CQ45" s="208">
        <f t="shared" ref="CQ45:CQ56" si="18">Y45+AM45+BA45+BO45+CC45</f>
        <v>1.5345181088916828</v>
      </c>
      <c r="CR45" s="219">
        <f t="shared" ref="CR45:CR56" si="19">Z45+AN45+BB45+BP45+CD45</f>
        <v>153.70939507764305</v>
      </c>
      <c r="CS45" s="225">
        <f>H45-CR45</f>
        <v>0</v>
      </c>
      <c r="CV45" s="265"/>
      <c r="CW45" s="266" t="s">
        <v>12</v>
      </c>
      <c r="CX45" s="267">
        <f>INDEX($M$43:$Z$56,MATCH($CW45,$L$43:$L$56,0),MATCH(CX$44,$M$44:$Z$44,0))/INDEX(고양시_재차인원!$D$4:$H$35,MATCH("고양시",고양시_재차인원!$B$4:$B$35,0),MATCH('A.일산테크노밸리(859991)_수정'!$CX$43,고양시_재차인원!$D$4:$H$4,0))</f>
        <v>7.0738073612438459</v>
      </c>
      <c r="CY45" s="267">
        <f>INDEX($M$43:$Z$56,MATCH($CW45,$L$43:$L$56,0),MATCH(CY$44,$M$44:$Z$44,0))/INDEX(고양시_재차인원!$K$4:$O$20,MATCH("경기도",고양시_재차인원!$K$4:$K$20,0),MATCH('A.일산테크노밸리(859991)_수정'!CY$44,고양시_재차인원!$K$4:$O$4,0))</f>
        <v>5.8513302126834923E-5</v>
      </c>
      <c r="CZ45" s="267">
        <f>INDEX($M$43:$Z$56,MATCH($CW45,$L$43:$L$56,0),MATCH(CZ$44,$M$44:$Z$44,0))/INDEX(고양시_재차인원!$K$4:$O$20,MATCH("경기도",고양시_재차인원!$K$4:$K$20,0),MATCH('A.일산테크노밸리(859991)_수정'!CZ$44,고양시_재차인원!$K$4:$O$4,0))</f>
        <v>1.6266697991260105E-2</v>
      </c>
      <c r="DA45" s="267">
        <f>INDEX($M$43:$Z$56,MATCH($CW45,$L$43:$L$56,0),MATCH(DA$44,$M$44:$Z$44,0))/INDEX(고양시_재차인원!$K$4:$O$20,MATCH("경기도",고양시_재차인원!$K$4:$K$20,0),MATCH('A.일산테크노밸리(859991)_수정'!DA$44,고양시_재차인원!$K$4:$O$4,0))</f>
        <v>0.33916572427062425</v>
      </c>
      <c r="DB45" s="267">
        <f>INDEX($AA$43:$AN$56,MATCH($CW45,$L$43:$L$56,0),MATCH(DB$44,$AA$44:$AN$44,0))/INDEX(고양시_재차인원!$D$4:$H$35,MATCH("고양시",고양시_재차인원!$B$4:$B$35,0),MATCH('A.일산테크노밸리(859991)_수정'!$DB$43,고양시_재차인원!$D$4:$H$4,0))</f>
        <v>29.794755068097096</v>
      </c>
      <c r="DC45" s="267">
        <f>INDEX($AA$43:$AN$56,MATCH($CW45,$L$43:$L$56,0),MATCH(DC$44,$AA$44:$AN$44,0))/INDEX(고양시_재차인원!$K$4:$O$20,MATCH("경기도",고양시_재차인원!$K$4:$K$20,0),MATCH('A.일산테크노밸리(859991)_수정'!DC$44,고양시_재차인원!$K$4:$O$4,0))</f>
        <v>0</v>
      </c>
      <c r="DD45" s="267">
        <f>INDEX($AA$43:$AN$56,MATCH($CW45,$L$43:$L$56,0),MATCH(DD$44,$AA$44:$AN$44,0))/INDEX(고양시_재차인원!$K$4:$O$20,MATCH("경기도",고양시_재차인원!$K$4:$K$20,0),MATCH('A.일산테크노밸리(859991)_수정'!DD$44,고양시_재차인원!$K$4:$O$4,0))</f>
        <v>0.15834251963390131</v>
      </c>
      <c r="DE45" s="267">
        <f>INDEX($AA$43:$AN$56,MATCH($CW45,$L$43:$L$56,0),MATCH(DE$44,$AA$44:$AN$44,0))/INDEX(고양시_재차인원!$K$4:$O$20,MATCH("경기도",고양시_재차인원!$K$4:$K$20,0),MATCH('A.일산테크노밸리(859991)_수정'!DE$44,고양시_재차인원!$K$4:$O$4,0))</f>
        <v>4.0346948022990974</v>
      </c>
      <c r="DF45" s="267">
        <f>INDEX($AO$43:$BB$56,MATCH($CW45,$L$43:$L$56,0),MATCH(DF$44,$AO$44:$BB$44,0))/INDEX(고양시_재차인원!$D$4:$H$35,MATCH("고양시",고양시_재차인원!$B$4:$B$35,0),MATCH('A.일산테크노밸리(859991)_수정'!$DF$43,고양시_재차인원!$D$4:$H$4,0))</f>
        <v>3.2730623963152792</v>
      </c>
      <c r="DG45" s="267">
        <f>INDEX($AO$43:$BB$56,MATCH($CW45,$L$43:$L$56,0),MATCH(DG$44,$AO$44:$BB$44,0))/INDEX(고양시_재차인원!$K$4:$O$20,MATCH("경기도",고양시_재차인원!$K$4:$K$20,0),MATCH('A.일산테크노밸리(859991)_수정'!DG$44,고양시_재차인원!$K$4:$O$4,0))</f>
        <v>1.411784961348111E-4</v>
      </c>
      <c r="DH45" s="267">
        <f>INDEX($AO$43:$BB$56,MATCH($CW45,$L$43:$L$56,0),MATCH(DH$44,$AO$44:$BB$44,0))/INDEX(고양시_재차인원!$K$4:$O$20,MATCH("경기도",고양시_재차인원!$K$4:$K$20,0),MATCH('A.일산테크노밸리(859991)_수정'!DH$44,고양시_재차인원!$K$4:$O$4,0))</f>
        <v>5.5866347756203831E-3</v>
      </c>
      <c r="DI45" s="267">
        <f>INDEX($AO$43:$BB$56,MATCH($CW45,$L$43:$L$56,0),MATCH(DI$44,$AO$44:$BB$44,0))/INDEX(고양시_재차인원!$K$4:$O$20,MATCH("경기도",고양시_재차인원!$K$4:$K$20,0),MATCH('A.일산테크노밸리(859991)_수정'!DI$44,고양시_재차인원!$K$4:$O$4,0))</f>
        <v>9.8709987661800849E-2</v>
      </c>
      <c r="DJ45" s="268">
        <f>INDEX($BC$43:$BP$56,MATCH($CW45,$L$43:$L$56,0),MATCH(DJ$44,$BC$44:$BP$44,0))/INDEX(고양시_재차인원!$D$4:$H$35,MATCH("고양시",고양시_재차인원!$B$4:$B$35,0),MATCH('A.일산테크노밸리(859991)_수정'!$DJ$43,고양시_재차인원!$D$4:$H$4,0))</f>
        <v>9.5879116512506534E-3</v>
      </c>
      <c r="DK45" s="267">
        <f>INDEX($BC$43:$BP$56,MATCH($CW45,$L$43:$L$56,0),MATCH(DK$44,$BC$44:$BP$44,0))/INDEX(고양시_재차인원!$K$4:$O$20,MATCH("경기도",고양시_재차인원!$K$4:$K$20,0),MATCH('A.일산테크노밸리(859991)_수정'!DK$44,고양시_재차인원!$K$4:$O$4,0))</f>
        <v>2.9042433490589782E-5</v>
      </c>
      <c r="DL45" s="267">
        <f>INDEX($BC$43:$BP$56,MATCH($CW45,$L$43:$L$56,0),MATCH(DL$44,$BC$44:$BP$44,0))/INDEX(고양시_재차인원!$K$4:$O$20,MATCH("경기도",고양시_재차인원!$K$4:$K$20,0),MATCH('A.일산테크노밸리(859991)_수정'!DL$44,고양시_재차인원!$K$4:$O$4,0))</f>
        <v>1.9361622327059853E-5</v>
      </c>
      <c r="DM45" s="267">
        <f>INDEX($BC$43:$BP$56,MATCH($CW45,$L$43:$L$56,0),MATCH(DM$44,$BC$44:$BP$44,0))/INDEX(고양시_재차인원!$K$4:$O$20,MATCH("경기도",고양시_재차인원!$K$4:$K$20,0),MATCH('A.일산테크노밸리(859991)_수정'!DM$44,고양시_재차인원!$K$4:$O$4,0))</f>
        <v>7.9781552008474657E-5</v>
      </c>
      <c r="DN45" s="268">
        <f>INDEX($BQ$43:$CD$56,MATCH($CW45,$L$43:$L$56,0),MATCH(DN$44,$BQ$44:$CD$44,0))/INDEX(고양시_재차인원!$D$4:$H$35,MATCH("고양시",고양시_재차인원!$B$4:$B$35,0),MATCH('A.일산테크노밸리(859991)_수정'!$DN$43,고양시_재차인원!$D$4:$H$4,0))</f>
        <v>2.1698316003641468E-2</v>
      </c>
      <c r="DO45" s="267">
        <f>INDEX($BQ$43:$CD$56,MATCH($CW45,$L$43:$L$56,0),MATCH(DO$44,$BQ$44:$CD$44,0))/INDEX(고양시_재차인원!$K$4:$O$20,MATCH("경기도",고양시_재차인원!$K$4:$K$20,0),MATCH('A.일산테크노밸리(859991)_수정'!DO$44,고양시_재차인원!$K$4:$O$4,0))</f>
        <v>8.6625940194938402E-5</v>
      </c>
      <c r="DP45" s="267">
        <f>INDEX($BQ$43:$CD$56,MATCH($CW45,$L$43:$L$56,0),MATCH(DP$44,$BQ$44:$CD$44,0))/INDEX(고양시_재차인원!$K$4:$O$20,MATCH("경기도",고양시_재차인원!$K$4:$K$20,0),MATCH('A.일산테크노밸리(859991)_수정'!DP$44,고양시_재차인원!$K$4:$O$4,0))</f>
        <v>2.8932134229686944E-4</v>
      </c>
      <c r="DQ45" s="267">
        <f>INDEX($BQ$43:$CD$56,MATCH($CW45,$L$43:$L$56,0),MATCH(DQ$44,$BQ$44:$CD$44,0))/INDEX(고양시_재차인원!$K$4:$O$20,MATCH("경기도",고양시_재차인원!$K$4:$K$20,0),MATCH('A.일산테크노밸리(859991)_수정'!DQ$44,고양시_재차인원!$K$4:$O$4,0))</f>
        <v>2.0820185721509763E-5</v>
      </c>
      <c r="DR45" s="269">
        <f>CX45+DB45+DF45+DJ45+DN45</f>
        <v>40.172911053311118</v>
      </c>
      <c r="DS45" s="270">
        <f t="shared" ref="DS45:DS56" si="20">CY45+DC45+DG45+DK45+DO45</f>
        <v>3.1536017194717421E-4</v>
      </c>
      <c r="DT45" s="270">
        <f t="shared" ref="DT45:DT56" si="21">CZ45+DD45+DH45+DL45+DP45</f>
        <v>0.1805045353654057</v>
      </c>
      <c r="DU45" s="270">
        <f t="shared" ref="DU45:DU56" si="22">DA45+DE45+DI45+DM45+DQ45</f>
        <v>4.472671115969252</v>
      </c>
      <c r="DW45" s="278"/>
      <c r="DX45" s="278" t="s">
        <v>589</v>
      </c>
      <c r="DY45" s="281">
        <f>DR45+DU45</f>
        <v>44.645582169280374</v>
      </c>
      <c r="DZ45" s="281">
        <f>DS45+DT45</f>
        <v>0.18081989553735286</v>
      </c>
      <c r="EC45" s="412" t="s">
        <v>12</v>
      </c>
      <c r="ED45" s="412" t="s">
        <v>567</v>
      </c>
      <c r="EE45" s="412">
        <v>11477.778199999999</v>
      </c>
      <c r="EF45" s="412">
        <v>1</v>
      </c>
      <c r="EG45" s="413">
        <v>859001</v>
      </c>
      <c r="EH45" s="414">
        <f>VLOOKUP($EM45,$DX$44:$DZ$53,2,FALSE)*$EF45*$BB$11*(1-$BD$7)</f>
        <v>43.373183077455884</v>
      </c>
      <c r="EI45" s="415">
        <f>VLOOKUP($EM45,$DX$44:$DZ$53,3,FALSE)*$EF45*$BB$11*(1-$BD$7)</f>
        <v>0.17566652851453832</v>
      </c>
      <c r="EJ45" s="402">
        <v>0</v>
      </c>
      <c r="EM45" s="278" t="s">
        <v>12</v>
      </c>
      <c r="EN45" s="278" t="s">
        <v>567</v>
      </c>
      <c r="EO45" s="278">
        <v>11477.778199999999</v>
      </c>
      <c r="EP45" s="278">
        <v>1</v>
      </c>
      <c r="EQ45" s="289">
        <v>859001</v>
      </c>
      <c r="ER45" s="290">
        <f>EH45*$EA$38</f>
        <v>43.373183077455884</v>
      </c>
      <c r="ES45" s="291">
        <f t="shared" ref="ES45:ES89" si="23">EI45*$EA$38</f>
        <v>0.17566652851453832</v>
      </c>
      <c r="ET45" s="402">
        <v>0</v>
      </c>
      <c r="EV45" s="34"/>
      <c r="EW45" s="34"/>
      <c r="EX45" s="34"/>
      <c r="EY45" s="34"/>
      <c r="EZ45" s="378"/>
      <c r="FA45" s="401"/>
      <c r="FB45" s="402"/>
      <c r="FC45" s="402"/>
    </row>
    <row r="46" spans="1:159" ht="16.5" customHeight="1">
      <c r="A46" s="205"/>
      <c r="B46" s="205" t="s">
        <v>13</v>
      </c>
      <c r="C46" s="400">
        <f>'A.일산테크노밸리(859991)_수정'!$P29*KTDB_TripDistribution_2045!L$12 * (1 + KTDB_발생량도착량_증가율!$D$7*5) * (1 + KTDB_발생량도착량_증가율!$E$7*5) * (1 + KTDB_발생량도착량_증가율!$F$7*5) * (1 + KTDB_발생량도착량_증가율!$G$7*5)</f>
        <v>13.674971742115156</v>
      </c>
      <c r="D46" s="400">
        <f>'A.일산테크노밸리(859991)_수정'!$P29*KTDB_TripDistribution_2045!M$12 * (1 + KTDB_발생량도착량_증가율!$D$7*5) * (1 + KTDB_발생량도착량_증가율!$E$7*5) * (1 + KTDB_발생량도착량_증가율!$F$7*5) * (1 + KTDB_발생량도착량_증가율!$G$7*5)</f>
        <v>106.33840388030468</v>
      </c>
      <c r="E46" s="400">
        <f>'A.일산테크노밸리(859991)_수정'!$P29*KTDB_TripDistribution_2045!N$12 * (1 + KTDB_발생량도착량_증가율!$D$7*5) * (1 + KTDB_발생량도착량_증가율!$E$7*5) * (1 + KTDB_발생량도착량_증가율!$F$7*5) * (1 + KTDB_발생량도착량_증가율!$G$7*5)</f>
        <v>4.7134873001136741</v>
      </c>
      <c r="F46" s="400">
        <f>'A.일산테크노밸리(859991)_수정'!$P29*KTDB_TripDistribution_2045!O$12 * (1 + KTDB_발생량도착량_증가율!$D$7*5) * (1 + KTDB_발생량도착량_증가율!$E$7*5) * (1 + KTDB_발생량도착량_증가율!$F$7*5) * (1 + KTDB_발생량도착량_증가율!$G$7*5)</f>
        <v>1.2782338440986264E-2</v>
      </c>
      <c r="G46" s="400">
        <f>'A.일산테크노밸리(859991)_수정'!$P29*KTDB_TripDistribution_2045!P$12 * (1 + KTDB_발생량도착량_증가율!$D$7*5) * (1 + KTDB_발생량도착량_증가율!$E$7*5) * (1 + KTDB_발생량도착량_증가율!$F$7*5) * (1 + KTDB_발생량도착량_증가율!$G$7*5)</f>
        <v>3.6216625582794287E-2</v>
      </c>
      <c r="H46" s="400">
        <f>'A.일산테크노밸리(859991)_수정'!$P29*KTDB_TripDistribution_2045!Q$12 * (1 + KTDB_발생량도착량_증가율!$D$7*5) * (1 + KTDB_발생량도착량_증가율!$E$7*5) * (1 + KTDB_발생량도착량_증가율!$F$7*5) * (1 + KTDB_발생량도착량_증가율!$G$7*5)</f>
        <v>124.77586188655729</v>
      </c>
      <c r="J46" s="230">
        <f t="shared" si="6"/>
        <v>124.77586188655729</v>
      </c>
      <c r="K46" s="206"/>
      <c r="L46" s="209" t="s">
        <v>13</v>
      </c>
      <c r="M46" s="213">
        <f>INDEX($A$44:$H$56,MATCH($L46,$B$44:$B$56,0),MATCH($M$43,$A$44:$H$44,0))*고양시_Modal_split!C$3 * 0.01</f>
        <v>3.8289920877922434E-2</v>
      </c>
      <c r="N46" s="207">
        <f>INDEX($A$44:$H$56,MATCH($L46,$B$44:$B$56,0),MATCH($M$43,$A$44:$H$44,0))*고양시_Modal_split!D$3 * 0.01</f>
        <v>6.431339210316759</v>
      </c>
      <c r="O46" s="207">
        <f>INDEX($A$44:$H$56,MATCH($L46,$B$44:$B$56,0),MATCH($M$43,$A$44:$H$44,0))*고양시_Modal_split!E$3 * 0.01</f>
        <v>0.77810589212635239</v>
      </c>
      <c r="P46" s="207">
        <f>INDEX($A$44:$H$56,MATCH($L46,$B$44:$B$56,0),MATCH($M$43,$A$44:$H$44,0))*고양시_Modal_split!F$3 * 0.01</f>
        <v>1.2539949087519597</v>
      </c>
      <c r="Q46" s="207">
        <f>INDEX($A$44:$H$56,MATCH($L46,$B$44:$B$56,0),MATCH($M$43,$A$44:$H$44,0))*고양시_Modal_split!G$3 * 0.01</f>
        <v>0.12580974002745943</v>
      </c>
      <c r="R46" s="207">
        <f>INDEX($A$44:$H$56,MATCH($L46,$B$44:$B$56,0),MATCH($M$43,$A$44:$H$44,0))*고양시_Modal_split!H$3 * 0.01</f>
        <v>1.3674971742115157E-3</v>
      </c>
      <c r="S46" s="207">
        <f>INDEX($A$44:$H$56,MATCH($L46,$B$44:$B$56,0),MATCH($M$43,$A$44:$H$44,0))*고양시_Modal_split!I$3 * 0.01</f>
        <v>0.38016421443080134</v>
      </c>
      <c r="T46" s="207">
        <f>INDEX($A$44:$H$56,MATCH($L46,$B$44:$B$56,0),MATCH($M$43,$A$44:$H$44,0))*고양시_Modal_split!J$3 * 0.01</f>
        <v>4.1626613982998535</v>
      </c>
      <c r="U46" s="207">
        <f>INDEX($A$44:$H$56,MATCH($L46,$B$44:$B$56,0),MATCH($M$43,$A$44:$H$44,0))*고양시_Modal_split!K$3 * 0.01</f>
        <v>2.0512457613172736E-2</v>
      </c>
      <c r="V46" s="207">
        <f>INDEX($A$44:$H$56,MATCH($L46,$B$44:$B$56,0),MATCH($M$43,$A$44:$H$44,0))*고양시_Modal_split!L$3 * 0.01</f>
        <v>0.41298414661187771</v>
      </c>
      <c r="W46" s="207">
        <f>INDEX($A$44:$H$56,MATCH($L46,$B$44:$B$56,0),MATCH($M$43,$A$44:$H$44,0))*고양시_Modal_split!M$3 * 0.01</f>
        <v>3.1452435006864857E-2</v>
      </c>
      <c r="X46" s="207">
        <f>INDEX($A$44:$H$56,MATCH($L46,$B$44:$B$56,0),MATCH($M$43,$A$44:$H$44,0))*고양시_Modal_split!N$3 * 0.01</f>
        <v>1.3674971742115157E-2</v>
      </c>
      <c r="Y46" s="207">
        <f>INDEX($A$44:$H$56,MATCH($L46,$B$44:$B$56,0),MATCH($M$43,$A$44:$H$44,0))*고양시_Modal_split!O$3 * 0.01</f>
        <v>2.4614949135807279E-2</v>
      </c>
      <c r="Z46" s="214">
        <f>INDEX($A$44:$H$56,MATCH($L46,$B$44:$B$56,0),MATCH($M$43,$A$44:$H$44,0))*고양시_Modal_split!P$3 * 0.01</f>
        <v>13.674971742115156</v>
      </c>
      <c r="AA46" s="213">
        <f>INDEX($A$44:$H$56,MATCH($L46,$B$44:$B$56,0),MATCH($AA$43,$A$44:$H$44,0))*고양시_Modal_split!C$4 * 0.01</f>
        <v>32.369410141164742</v>
      </c>
      <c r="AB46" s="207">
        <f>INDEX($A$44:$H$56,MATCH($L46,$B$44:$B$56,0),MATCH($AA$43,$A$44:$H$44,0))*고양시_Modal_split!D$4 * 0.01</f>
        <v>34.102726124413714</v>
      </c>
      <c r="AC46" s="207">
        <f>INDEX($A$44:$H$56,MATCH($L46,$B$44:$B$56,0),MATCH($AA$43,$A$44:$H$44,0))*고양시_Modal_split!E$4 * 0.01</f>
        <v>8.2624939814996736</v>
      </c>
      <c r="AD46" s="207">
        <f>INDEX($A$44:$H$56,MATCH($L46,$B$44:$B$56,0),MATCH($AA$43,$A$44:$H$44,0))*고양시_Modal_split!F$4 * 0.01</f>
        <v>1.0102148368628945</v>
      </c>
      <c r="AE46" s="207">
        <f>INDEX($A$44:$H$56,MATCH($L46,$B$44:$B$56,0),MATCH($AA$43,$A$44:$H$44,0))*고양시_Modal_split!G$4 * 0.01</f>
        <v>12.452227094383677</v>
      </c>
      <c r="AF46" s="207">
        <f>INDEX($A$44:$H$56,MATCH($L46,$B$44:$B$56,0),MATCH($AA$43,$A$44:$H$44,0))*고양시_Modal_split!H$4 * 0.01</f>
        <v>0</v>
      </c>
      <c r="AG46" s="207">
        <f>INDEX($A$44:$H$56,MATCH($L46,$B$44:$B$56,0),MATCH($AA$43,$A$44:$H$44,0))*고양시_Modal_split!I$4 * 0.01</f>
        <v>3.7005764550346028</v>
      </c>
      <c r="AH46" s="207">
        <f>INDEX($A$44:$H$56,MATCH($L46,$B$44:$B$56,0),MATCH($AA$43,$A$44:$H$44,0))*고양시_Modal_split!J$4 * 0.01</f>
        <v>5.0085388227623504</v>
      </c>
      <c r="AI46" s="207">
        <f>INDEX($A$44:$H$56,MATCH($L46,$B$44:$B$56,0),MATCH($AA$43,$A$44:$H$44,0))*고양시_Modal_split!K$4 * 0.01</f>
        <v>0</v>
      </c>
      <c r="AJ46" s="207">
        <f>INDEX($A$44:$H$56,MATCH($L46,$B$44:$B$56,0),MATCH($AA$43,$A$44:$H$44,0))*고양시_Modal_split!L$4 * 0.01</f>
        <v>4.9128342592700767</v>
      </c>
      <c r="AK46" s="207">
        <f>INDEX($A$44:$H$56,MATCH($L46,$B$44:$B$56,0),MATCH($AA$43,$A$44:$H$44,0))*고양시_Modal_split!M$4 * 0.01</f>
        <v>0.71246730599804142</v>
      </c>
      <c r="AL46" s="207">
        <f>INDEX($A$44:$H$56,MATCH($L46,$B$44:$B$56,0),MATCH($AA$43,$A$44:$H$44,0))*고양시_Modal_split!N$4 * 0.01</f>
        <v>2.6584600970076173</v>
      </c>
      <c r="AM46" s="207">
        <f>INDEX($A$44:$H$56,MATCH($L46,$B$44:$B$56,0),MATCH($AA$43,$A$44:$H$44,0))*고양시_Modal_split!O$4 * 0.01</f>
        <v>1.1484547619072907</v>
      </c>
      <c r="AN46" s="214">
        <f>INDEX($A$44:$H$56,MATCH($L46,$B$44:$B$56,0),MATCH($AA$43,$A$44:$H$44,0))*고양시_Modal_split!P$4 * 0.01</f>
        <v>106.33840388030468</v>
      </c>
      <c r="AO46" s="213">
        <f>INDEX($A$44:$H$56,MATCH($L46,$B$44:$B$56,0),MATCH($AO$43,$A$44:$H$44,0))*고양시_Modal_split!C$5 * 0.01</f>
        <v>2.8280923800682047E-3</v>
      </c>
      <c r="AP46" s="207">
        <f>INDEX($A$44:$H$56,MATCH($L46,$B$44:$B$56,0),MATCH($AO$43,$A$44:$H$44,0))*고양시_Modal_split!D$5 * 0.01</f>
        <v>3.4540434935233004</v>
      </c>
      <c r="AQ46" s="207">
        <f>INDEX($A$44:$H$56,MATCH($L46,$B$44:$B$56,0),MATCH($AO$43,$A$44:$H$44,0))*고양시_Modal_split!E$5 * 0.01</f>
        <v>0.46427849906119689</v>
      </c>
      <c r="AR46" s="207">
        <f>INDEX($A$44:$H$56,MATCH($L46,$B$44:$B$56,0),MATCH($AO$43,$A$44:$H$44,0))*고양시_Modal_split!F$5 * 0.01</f>
        <v>9.8983233302387161E-2</v>
      </c>
      <c r="AS46" s="207">
        <f>INDEX($A$44:$H$56,MATCH($L46,$B$44:$B$56,0),MATCH($AO$43,$A$44:$H$44,0))*고양시_Modal_split!G$5 * 0.01</f>
        <v>3.0637667450738881E-2</v>
      </c>
      <c r="AT46" s="207">
        <f>INDEX($A$44:$H$56,MATCH($L46,$B$44:$B$56,0),MATCH($AO$43,$A$44:$H$44,0))*고양시_Modal_split!H$5 * 0.01</f>
        <v>3.2994411100795719E-3</v>
      </c>
      <c r="AU46" s="207">
        <f>INDEX($A$44:$H$56,MATCH($L46,$B$44:$B$56,0),MATCH($AO$43,$A$44:$H$44,0))*고양시_Modal_split!I$5 * 0.01</f>
        <v>0.13056359821314878</v>
      </c>
      <c r="AV46" s="207">
        <f>INDEX($A$44:$H$56,MATCH($L46,$B$44:$B$56,0),MATCH($AO$43,$A$44:$H$44,0))*고양시_Modal_split!J$5 * 0.01</f>
        <v>0.29553565371712742</v>
      </c>
      <c r="AW46" s="207">
        <f>INDEX($A$44:$H$56,MATCH($L46,$B$44:$B$56,0),MATCH($AO$43,$A$44:$H$44,0))*고양시_Modal_split!K$5 * 0.01</f>
        <v>9.426974600227349E-4</v>
      </c>
      <c r="AX46" s="207">
        <f>INDEX($A$44:$H$56,MATCH($L46,$B$44:$B$56,0),MATCH($AO$43,$A$44:$H$44,0))*고양시_Modal_split!L$5 * 0.01</f>
        <v>0.12019392615289869</v>
      </c>
      <c r="AY46" s="207">
        <f>INDEX($A$44:$H$56,MATCH($L46,$B$44:$B$56,0),MATCH($AO$43,$A$44:$H$44,0))*고양시_Modal_split!M$5 * 0.01</f>
        <v>3.1580364910761619E-2</v>
      </c>
      <c r="AZ46" s="207">
        <f>INDEX($A$44:$H$56,MATCH($L46,$B$44:$B$56,0),MATCH($AO$43,$A$44:$H$44,0))*고양시_Modal_split!N$5 * 0.01</f>
        <v>8.0129284101932447E-3</v>
      </c>
      <c r="BA46" s="207">
        <f>INDEX($A$44:$H$56,MATCH($L46,$B$44:$B$56,0),MATCH($AO$43,$A$44:$H$44,0))*고양시_Modal_split!O$5 * 0.01</f>
        <v>7.2587704421750582E-2</v>
      </c>
      <c r="BB46" s="214">
        <f>INDEX($A$44:$H$56,MATCH($L46,$B$44:$B$56,0),MATCH($AO$43,$A$44:$H$44,0))*고양시_Modal_split!P$5 * 0.01</f>
        <v>4.7134873001136741</v>
      </c>
      <c r="BC46" s="213">
        <f>INDEX($A$44:$H$56,MATCH($L46,$B$44:$B$56,0),MATCH($BC$43,$A$44:$H$44,0))*고양시_Modal_split!C$6 * 0.01</f>
        <v>0</v>
      </c>
      <c r="BD46" s="207">
        <f>INDEX($A$44:$H$56,MATCH($L46,$B$44:$B$56,0),MATCH($BC$43,$A$44:$H$44,0))*고양시_Modal_split!D$6 * 0.01</f>
        <v>1.0585054462980723E-2</v>
      </c>
      <c r="BE46" s="207">
        <f>INDEX($A$44:$H$56,MATCH($L46,$B$44:$B$56,0),MATCH($BC$43,$A$44:$H$44,0))*고양시_Modal_split!E$6 * 0.01</f>
        <v>5.4964055296240932E-5</v>
      </c>
      <c r="BF46" s="207">
        <f>INDEX($A$44:$H$56,MATCH($L46,$B$44:$B$56,0),MATCH($BC$43,$A$44:$H$44,0))*고양시_Modal_split!F$6 * 0.01</f>
        <v>1.5594452898003242E-4</v>
      </c>
      <c r="BG46" s="207">
        <f>INDEX($A$44:$H$56,MATCH($L46,$B$44:$B$56,0),MATCH($BC$43,$A$44:$H$44,0))*고양시_Modal_split!G$6 * 0.01</f>
        <v>0</v>
      </c>
      <c r="BH46" s="207">
        <f>INDEX($A$44:$H$56,MATCH($L46,$B$44:$B$56,0),MATCH($BC$43,$A$44:$H$44,0))*고양시_Modal_split!H$6 * 0.01</f>
        <v>6.7874217121637059E-4</v>
      </c>
      <c r="BI46" s="207">
        <f>INDEX($A$44:$H$56,MATCH($L46,$B$44:$B$56,0),MATCH($BC$43,$A$44:$H$44,0))*고양시_Modal_split!I$6 * 0.01</f>
        <v>4.5249478081091371E-4</v>
      </c>
      <c r="BJ46" s="207">
        <f>INDEX($A$44:$H$56,MATCH($L46,$B$44:$B$56,0),MATCH($BC$43,$A$44:$H$44,0))*고양시_Modal_split!J$6 * 0.01</f>
        <v>6.3144751898472145E-4</v>
      </c>
      <c r="BK46" s="207">
        <f>INDEX($A$44:$H$56,MATCH($L46,$B$44:$B$56,0),MATCH($BC$43,$A$44:$H$44,0))*고양시_Modal_split!K$6 * 0.01</f>
        <v>0</v>
      </c>
      <c r="BL46" s="207">
        <f>INDEX($A$44:$H$56,MATCH($L46,$B$44:$B$56,0),MATCH($BC$43,$A$44:$H$44,0))*고양시_Modal_split!L$6 * 0.01</f>
        <v>9.7145772151495608E-5</v>
      </c>
      <c r="BM46" s="207">
        <f>INDEX($A$44:$H$56,MATCH($L46,$B$44:$B$56,0),MATCH($BC$43,$A$44:$H$44,0))*고양시_Modal_split!M$6 * 0.01</f>
        <v>1.16319279812975E-4</v>
      </c>
      <c r="BN46" s="207">
        <f>INDEX($A$44:$H$56,MATCH($L46,$B$44:$B$56,0),MATCH($BC$43,$A$44:$H$44,0))*고양시_Modal_split!N$6 * 0.01</f>
        <v>0</v>
      </c>
      <c r="BO46" s="207">
        <f>INDEX($A$44:$H$56,MATCH($L46,$B$44:$B$56,0),MATCH($BC$43,$A$44:$H$44,0))*고양시_Modal_split!O$6 * 0.01</f>
        <v>1.0225870752789012E-5</v>
      </c>
      <c r="BP46" s="214">
        <f>INDEX($A$44:$H$56,MATCH($L46,$B$44:$B$56,0),MATCH($BC$43,$A$44:$H$44,0))*고양시_Modal_split!P$6 * 0.01</f>
        <v>1.2782338440986264E-2</v>
      </c>
      <c r="BQ46" s="213">
        <f>INDEX($A$44:$H$56,MATCH($L46,$B$44:$B$56,0),MATCH($BQ$43,$A$44:$H$44,0))*고양시_Modal_split!C$7 * 0.01</f>
        <v>0</v>
      </c>
      <c r="BR46" s="207">
        <f>INDEX($A$44:$H$56,MATCH($L46,$B$44:$B$56,0),MATCH($BQ$43,$A$44:$H$44,0))*고양시_Modal_split!D$7 * 0.01</f>
        <v>2.2193548157136339E-2</v>
      </c>
      <c r="BS46" s="207">
        <f>INDEX($A$44:$H$56,MATCH($L46,$B$44:$B$56,0),MATCH($BQ$43,$A$44:$H$44,0))*고양시_Modal_split!E$7 * 0.01</f>
        <v>1.082877104925549E-3</v>
      </c>
      <c r="BT46" s="207">
        <f>INDEX($A$44:$H$56,MATCH($L46,$B$44:$B$56,0),MATCH($BQ$43,$A$44:$H$44,0))*고양시_Modal_split!F$7 * 0.01</f>
        <v>3.621662558279429E-4</v>
      </c>
      <c r="BU46" s="207">
        <f>INDEX($A$44:$H$56,MATCH($L46,$B$44:$B$56,0),MATCH($BQ$43,$A$44:$H$44,0))*고양시_Modal_split!G$7 * 0.01</f>
        <v>1.52109827447736E-4</v>
      </c>
      <c r="BV46" s="207">
        <f>INDEX($A$44:$H$56,MATCH($L46,$B$44:$B$56,0),MATCH($BQ$43,$A$44:$H$44,0))*고양시_Modal_split!H$7 * 0.01</f>
        <v>2.0245093700782006E-3</v>
      </c>
      <c r="BW46" s="207">
        <f>INDEX($A$44:$H$56,MATCH($L46,$B$44:$B$56,0),MATCH($BQ$43,$A$44:$H$44,0))*고양시_Modal_split!I$7 * 0.01</f>
        <v>6.7616439963076938E-3</v>
      </c>
      <c r="BX46" s="207">
        <f>INDEX($A$44:$H$56,MATCH($L46,$B$44:$B$56,0),MATCH($BQ$43,$A$44:$H$44,0))*고양시_Modal_split!J$7 * 0.01</f>
        <v>7.2433251165588577E-6</v>
      </c>
      <c r="BY46" s="207">
        <f>INDEX($A$44:$H$56,MATCH($L46,$B$44:$B$56,0),MATCH($BQ$43,$A$44:$H$44,0))*고양시_Modal_split!K$7 * 0.01</f>
        <v>2.7886801698751604E-3</v>
      </c>
      <c r="BZ46" s="207">
        <f>INDEX($A$44:$H$56,MATCH($L46,$B$44:$B$56,0),MATCH($BQ$43,$A$44:$H$44,0))*고양시_Modal_split!L$7 * 0.01</f>
        <v>2.5351637907956E-5</v>
      </c>
      <c r="CA46" s="207">
        <f>INDEX($A$44:$H$56,MATCH($L46,$B$44:$B$56,0),MATCH($BQ$43,$A$44:$H$44,0))*고양시_Modal_split!M$7 * 0.01</f>
        <v>6.7725089839825326E-4</v>
      </c>
      <c r="CB46" s="207">
        <f>INDEX($A$44:$H$56,MATCH($L46,$B$44:$B$56,0),MATCH($BQ$43,$A$44:$H$44,0))*고양시_Modal_split!N$7 * 0.01</f>
        <v>1.4124483977289771E-4</v>
      </c>
      <c r="CC46" s="207">
        <f>INDEX($A$44:$H$56,MATCH($L46,$B$44:$B$56,0),MATCH($BQ$43,$A$44:$H$44,0))*고양시_Modal_split!O$7 * 0.01</f>
        <v>0</v>
      </c>
      <c r="CD46" s="214">
        <f>INDEX($A$44:$H$56,MATCH($L46,$B$44:$B$56,0),MATCH($BQ$43,$A$44:$H$44,0))*고양시_Modal_split!P$7 * 0.01</f>
        <v>3.6216625582794287E-2</v>
      </c>
      <c r="CE46" s="218">
        <f t="shared" ref="CE46:CE56" si="24">M46+AA46+AO46+BC46+BQ46</f>
        <v>32.410528154422735</v>
      </c>
      <c r="CF46" s="208">
        <f t="shared" si="7"/>
        <v>44.020887430873884</v>
      </c>
      <c r="CG46" s="208">
        <f t="shared" si="8"/>
        <v>9.5060162138474436</v>
      </c>
      <c r="CH46" s="208">
        <f t="shared" si="9"/>
        <v>2.3637110897020492</v>
      </c>
      <c r="CI46" s="208">
        <f t="shared" si="10"/>
        <v>12.608826611689324</v>
      </c>
      <c r="CJ46" s="208">
        <f t="shared" si="11"/>
        <v>7.3701898255856589E-3</v>
      </c>
      <c r="CK46" s="208">
        <f t="shared" si="12"/>
        <v>4.2185184064556722</v>
      </c>
      <c r="CL46" s="208">
        <f t="shared" si="13"/>
        <v>9.467374565623432</v>
      </c>
      <c r="CM46" s="208">
        <f t="shared" si="14"/>
        <v>2.4243835243070631E-2</v>
      </c>
      <c r="CN46" s="208">
        <f t="shared" si="15"/>
        <v>5.4461348294449134</v>
      </c>
      <c r="CO46" s="208">
        <f t="shared" si="16"/>
        <v>0.77629367609387911</v>
      </c>
      <c r="CP46" s="208">
        <f t="shared" si="17"/>
        <v>2.6802892419996986</v>
      </c>
      <c r="CQ46" s="208">
        <f t="shared" si="18"/>
        <v>1.2456676413356014</v>
      </c>
      <c r="CR46" s="219">
        <f t="shared" si="19"/>
        <v>124.77586188655729</v>
      </c>
      <c r="CS46" s="225">
        <f t="shared" ref="CS46:CS56" si="25">H46-CR46</f>
        <v>0</v>
      </c>
      <c r="CV46" s="265"/>
      <c r="CW46" s="266" t="s">
        <v>13</v>
      </c>
      <c r="CX46" s="267">
        <f>INDEX($M$43:$Z$56,MATCH($CW46,$L$43:$L$56,0),MATCH(CX$44,$M$44:$Z$44,0))/INDEX(고양시_재차인원!$D$4:$H$35,MATCH("고양시",고양시_재차인원!$B$4:$B$35,0),MATCH('A.일산테크노밸리(859991)_수정'!$CX$43,고양시_재차인원!$D$4:$H$4,0))</f>
        <v>5.7422671520685347</v>
      </c>
      <c r="CY46" s="267">
        <f>INDEX($M$43:$Z$56,MATCH($CW46,$L$43:$L$56,0),MATCH(CY$44,$M$44:$Z$44,0))/INDEX(고양시_재차인원!$K$4:$O$20,MATCH("경기도",고양시_재차인원!$K$4:$K$20,0),MATCH('A.일산테크노밸리(859991)_수정'!CY$44,고양시_재차인원!$K$4:$O$4,0))</f>
        <v>4.7499033491195406E-5</v>
      </c>
      <c r="CZ46" s="267">
        <f>INDEX($M$43:$Z$56,MATCH($CW46,$L$43:$L$56,0),MATCH(CZ$44,$M$44:$Z$44,0))/INDEX(고양시_재차인원!$K$4:$O$20,MATCH("경기도",고양시_재차인원!$K$4:$K$20,0),MATCH('A.일산테크노밸리(859991)_수정'!CZ$44,고양시_재차인원!$K$4:$O$4,0))</f>
        <v>1.3204731310552323E-2</v>
      </c>
      <c r="DA46" s="267">
        <f>INDEX($M$43:$Z$56,MATCH($CW46,$L$43:$L$56,0),MATCH(DA$44,$M$44:$Z$44,0))/INDEX(고양시_재차인원!$K$4:$O$20,MATCH("경기도",고양시_재차인원!$K$4:$K$20,0),MATCH('A.일산테크노밸리(859991)_수정'!DA$44,고양시_재차인원!$K$4:$O$4,0))</f>
        <v>0.27532276440791847</v>
      </c>
      <c r="DB46" s="268">
        <f>INDEX($AA$43:$AN$56,MATCH($CW46,$L$43:$L$56,0),MATCH(DB$44,$AA$44:$AN$44,0))/INDEX(고양시_재차인원!$D$4:$H$35,MATCH("고양시",고양시_재차인원!$B$4:$B$35,0),MATCH('A.일산테크노밸리(859991)_수정'!$DB$43,고양시_재차인원!$D$4:$H$4,0))</f>
        <v>24.186330584690577</v>
      </c>
      <c r="DC46" s="267">
        <f>INDEX($AA$43:$AN$56,MATCH($CW46,$L$43:$L$56,0),MATCH(DC$44,$AA$44:$AN$44,0))/INDEX(고양시_재차인원!$K$4:$O$20,MATCH("경기도",고양시_재차인원!$K$4:$K$20,0),MATCH('A.일산테크노밸리(859991)_수정'!DC$44,고양시_재차인원!$K$4:$O$4,0))</f>
        <v>0</v>
      </c>
      <c r="DD46" s="267">
        <f>INDEX($AA$43:$AN$56,MATCH($CW46,$L$43:$L$56,0),MATCH(DD$44,$AA$44:$AN$44,0))/INDEX(고양시_재차인원!$K$4:$O$20,MATCH("경기도",고양시_재차인원!$K$4:$K$20,0),MATCH('A.일산테크노밸리(859991)_수정'!DD$44,고양시_재차인원!$K$4:$O$4,0))</f>
        <v>0.12853686887928456</v>
      </c>
      <c r="DE46" s="267">
        <f>INDEX($AA$43:$AN$56,MATCH($CW46,$L$43:$L$56,0),MATCH(DE$44,$AA$44:$AN$44,0))/INDEX(고양시_재차인원!$K$4:$O$20,MATCH("경기도",고양시_재차인원!$K$4:$K$20,0),MATCH('A.일산테크노밸리(859991)_수정'!DE$44,고양시_재차인원!$K$4:$O$4,0))</f>
        <v>3.2752228395133844</v>
      </c>
      <c r="DF46" s="268">
        <f>INDEX($AO$43:$BB$56,MATCH($CW46,$L$43:$L$56,0),MATCH(DF$44,$AO$44:$BB$44,0))/INDEX(고양시_재차인원!$D$4:$H$35,MATCH("고양시",고양시_재차인원!$B$4:$B$35,0),MATCH('A.일산테크노밸리(859991)_수정'!$DF$43,고양시_재차인원!$D$4:$H$4,0))</f>
        <v>2.6569565334794616</v>
      </c>
      <c r="DG46" s="267">
        <f>INDEX($AO$43:$BB$56,MATCH($CW46,$L$43:$L$56,0),MATCH(DG$44,$AO$44:$BB$44,0))/INDEX(고양시_재차인원!$K$4:$O$20,MATCH("경기도",고양시_재차인원!$K$4:$K$20,0),MATCH('A.일산테크노밸리(859991)_수정'!DG$44,고양시_재차인원!$K$4:$O$4,0))</f>
        <v>1.1460372039178785E-4</v>
      </c>
      <c r="DH46" s="267">
        <f>INDEX($AO$43:$BB$56,MATCH($CW46,$L$43:$L$56,0),MATCH(DH$44,$AO$44:$BB$44,0))/INDEX(고양시_재차인원!$K$4:$O$20,MATCH("경기도",고양시_재차인원!$K$4:$K$20,0),MATCH('A.일산테크노밸리(859991)_수정'!DH$44,고양시_재차인원!$K$4:$O$4,0))</f>
        <v>4.5350329355036047E-3</v>
      </c>
      <c r="DI46" s="267">
        <f>INDEX($AO$43:$BB$56,MATCH($CW46,$L$43:$L$56,0),MATCH(DI$44,$AO$44:$BB$44,0))/INDEX(고양시_재차인원!$K$4:$O$20,MATCH("경기도",고양시_재차인원!$K$4:$K$20,0),MATCH('A.일산테크노밸리(859991)_수정'!DI$44,고양시_재차인원!$K$4:$O$4,0))</f>
        <v>8.0129284101932458E-2</v>
      </c>
      <c r="DJ46" s="268">
        <f>INDEX($BC$43:$BP$56,MATCH($CW46,$L$43:$L$56,0),MATCH(DJ$44,$BC$44:$BP$44,0))/INDEX(고양시_재차인원!$D$4:$H$35,MATCH("고양시",고양시_재차인원!$B$4:$B$35,0),MATCH('A.일산테크노밸리(859991)_수정'!$DJ$43,고양시_재차인원!$D$4:$H$4,0))</f>
        <v>7.7831282816034726E-3</v>
      </c>
      <c r="DK46" s="267">
        <f>INDEX($BC$43:$BP$56,MATCH($CW46,$L$43:$L$56,0),MATCH(DK$44,$BC$44:$BP$44,0))/INDEX(고양시_재차인원!$K$4:$O$20,MATCH("경기도",고양시_재차인원!$K$4:$K$20,0),MATCH('A.일산테크노밸리(859991)_수정'!DK$44,고양시_재차인원!$K$4:$O$4,0))</f>
        <v>2.357562248059641E-5</v>
      </c>
      <c r="DL46" s="267">
        <f>INDEX($BC$43:$BP$56,MATCH($CW46,$L$43:$L$56,0),MATCH(DL$44,$BC$44:$BP$44,0))/INDEX(고양시_재차인원!$K$4:$O$20,MATCH("경기도",고양시_재차인원!$K$4:$K$20,0),MATCH('A.일산테크노밸리(859991)_수정'!DL$44,고양시_재차인원!$K$4:$O$4,0))</f>
        <v>1.5717081653730939E-5</v>
      </c>
      <c r="DM46" s="267">
        <f>INDEX($BC$43:$BP$56,MATCH($CW46,$L$43:$L$56,0),MATCH(DM$44,$BC$44:$BP$44,0))/INDEX(고양시_재차인원!$K$4:$O$20,MATCH("경기도",고양시_재차인원!$K$4:$K$20,0),MATCH('A.일산테크노밸리(859991)_수정'!DM$44,고양시_재차인원!$K$4:$O$4,0))</f>
        <v>6.4763848100997067E-5</v>
      </c>
      <c r="DN46" s="268">
        <f>INDEX($BQ$43:$CD$56,MATCH($CW46,$L$43:$L$56,0),MATCH(DN$44,$BQ$44:$CD$44,0))/INDEX(고양시_재차인원!$D$4:$H$35,MATCH("고양시",고양시_재차인원!$B$4:$B$35,0),MATCH('A.일산테크노밸리(859991)_수정'!$DN$43,고양시_재차인원!$D$4:$H$4,0))</f>
        <v>1.7613927108838363E-2</v>
      </c>
      <c r="DO46" s="267">
        <f>INDEX($BQ$43:$CD$56,MATCH($CW46,$L$43:$L$56,0),MATCH(DO$44,$BQ$44:$CD$44,0))/INDEX(고양시_재차인원!$K$4:$O$20,MATCH("경기도",고양시_재차인원!$K$4:$K$20,0),MATCH('A.일산테크노밸리(859991)_수정'!DO$44,고양시_재차인원!$K$4:$O$4,0))</f>
        <v>7.0319880864126461E-5</v>
      </c>
      <c r="DP46" s="267">
        <f>INDEX($BQ$43:$CD$56,MATCH($CW46,$L$43:$L$56,0),MATCH(DP$44,$BQ$44:$CD$44,0))/INDEX(고양시_재차인원!$K$4:$O$20,MATCH("경기도",고양시_재차인원!$K$4:$K$20,0),MATCH('A.일산테크노밸리(859991)_수정'!DP$44,고양시_재차인원!$K$4:$O$4,0))</f>
        <v>2.3486085433510574E-4</v>
      </c>
      <c r="DQ46" s="267">
        <f>INDEX($BQ$43:$CD$56,MATCH($CW46,$L$43:$L$56,0),MATCH(DQ$44,$BQ$44:$CD$44,0))/INDEX(고양시_재차인원!$K$4:$O$20,MATCH("경기도",고양시_재차인원!$K$4:$K$20,0),MATCH('A.일산테크노밸리(859991)_수정'!DQ$44,고양시_재차인원!$K$4:$O$4,0))</f>
        <v>1.6901091938637333E-5</v>
      </c>
      <c r="DR46" s="269">
        <f t="shared" ref="DR46:DR56" si="26">CX46+DB46+DF46+DJ46+DN46</f>
        <v>32.610951325629017</v>
      </c>
      <c r="DS46" s="270">
        <f t="shared" si="20"/>
        <v>2.5599825722770616E-4</v>
      </c>
      <c r="DT46" s="270">
        <f t="shared" si="21"/>
        <v>0.14652721106132935</v>
      </c>
      <c r="DU46" s="270">
        <f t="shared" si="22"/>
        <v>3.630756552963275</v>
      </c>
      <c r="DW46" s="278"/>
      <c r="DX46" s="278" t="s">
        <v>590</v>
      </c>
      <c r="DY46" s="281">
        <f t="shared" ref="DY46:DY50" si="27">DR46+DU46</f>
        <v>36.241707878592294</v>
      </c>
      <c r="DZ46" s="281">
        <f t="shared" ref="DZ46:DZ50" si="28">DS46+DT46</f>
        <v>0.14678320931855707</v>
      </c>
      <c r="EC46" s="412" t="s">
        <v>13</v>
      </c>
      <c r="ED46" s="412" t="s">
        <v>568</v>
      </c>
      <c r="EE46" s="412">
        <v>907.24059999999997</v>
      </c>
      <c r="EF46" s="412">
        <v>0.22444210067316503</v>
      </c>
      <c r="EG46" s="413">
        <v>859002</v>
      </c>
      <c r="EH46" s="414">
        <f t="shared" ref="EH46:EH89" si="29">VLOOKUP($EM46,$DX$44:$DZ$53,2,FALSE)*$EF46*$BB$11*(1-$BD$7)</f>
        <v>7.9023413443791988</v>
      </c>
      <c r="EI46" s="415">
        <f t="shared" ref="EI46:EI89" si="30">VLOOKUP($EM46,$DX$44:$DZ$53,3,FALSE)*$EF46*$BB$11*(1-$BD$7)</f>
        <v>3.2005418385480176E-2</v>
      </c>
      <c r="EJ46" s="402">
        <v>0</v>
      </c>
      <c r="EM46" s="278" t="s">
        <v>13</v>
      </c>
      <c r="EN46" s="278" t="s">
        <v>568</v>
      </c>
      <c r="EO46" s="278">
        <v>907.24059999999997</v>
      </c>
      <c r="EP46" s="278">
        <v>0.22444210067316503</v>
      </c>
      <c r="EQ46" s="289">
        <v>859002</v>
      </c>
      <c r="ER46" s="290">
        <f t="shared" ref="ER46:ER89" si="31">EH46*$EA$38</f>
        <v>7.9023413443791988</v>
      </c>
      <c r="ES46" s="291">
        <f t="shared" si="23"/>
        <v>3.2005418385480176E-2</v>
      </c>
      <c r="ET46" s="402">
        <v>0</v>
      </c>
      <c r="EV46" s="34"/>
      <c r="EW46" s="34"/>
      <c r="EX46" s="34"/>
      <c r="EY46" s="34"/>
      <c r="EZ46" s="378"/>
      <c r="FA46" s="401"/>
      <c r="FB46" s="402"/>
      <c r="FC46" s="402"/>
    </row>
    <row r="47" spans="1:159" ht="27" customHeight="1">
      <c r="A47" s="205"/>
      <c r="B47" s="205" t="s">
        <v>483</v>
      </c>
      <c r="C47" s="400">
        <f>'A.일산테크노밸리(859991)_수정'!$P30*KTDB_TripDistribution_2045!L$12 * (1 + KTDB_발생량도착량_증가율!$D$7*5) * (1 + KTDB_발생량도착량_증가율!$E$7*5) * (1 + KTDB_발생량도착량_증가율!$F$7*5) * (1 + KTDB_발생량도착량_증가율!$G$7*5)</f>
        <v>101.8686300789448</v>
      </c>
      <c r="D47" s="400">
        <f>'A.일산테크노밸리(859991)_수정'!$P30*KTDB_TripDistribution_2045!M$12 * (1 + KTDB_발생량도착량_증가율!$D$7*5) * (1 + KTDB_발생량도착량_증가율!$E$7*5) * (1 + KTDB_발생량도착량_증가율!$F$7*5) * (1 + KTDB_발생량도착량_증가율!$G$7*5)</f>
        <v>792.14405209386371</v>
      </c>
      <c r="E47" s="400">
        <f>'A.일산테크노밸리(859991)_수정'!$P30*KTDB_TripDistribution_2045!N$12 * (1 + KTDB_발생량도착량_증가율!$D$7*5) * (1 + KTDB_발생량도착량_증가율!$E$7*5) * (1 + KTDB_발생량도착량_증가율!$F$7*5) * (1 + KTDB_발생량도착량_증가율!$G$7*5)</f>
        <v>35.112064815339536</v>
      </c>
      <c r="F47" s="400">
        <f>'A.일산테크노밸리(859991)_수정'!$P30*KTDB_TripDistribution_2045!O$12 * (1 + KTDB_발생량도착량_증가율!$D$7*5) * (1 + KTDB_발생량도착량_증가율!$E$7*5) * (1 + KTDB_발생량도착량_증가율!$F$7*5) * (1 + KTDB_발생량도착량_증가율!$G$7*5)</f>
        <v>9.5219158821260017E-2</v>
      </c>
      <c r="G47" s="400">
        <f>'A.일산테크노밸리(859991)_수정'!$P30*KTDB_TripDistribution_2045!P$12 * (1 + KTDB_발생량도착량_증가율!$D$7*5) * (1 + KTDB_발생량도착량_증가율!$E$7*5) * (1 + KTDB_발생량도착량_증가율!$F$7*5) * (1 + KTDB_발생량도착량_증가율!$G$7*5)</f>
        <v>0.26978761666023565</v>
      </c>
      <c r="H47" s="400">
        <f>'A.일산테크노밸리(859991)_수정'!$P30*KTDB_TripDistribution_2045!Q$12 * (1 + KTDB_발생량도착량_증가율!$D$7*5) * (1 + KTDB_발생량도착량_증가율!$E$7*5) * (1 + KTDB_발생량도착량_증가율!$F$7*5) * (1 + KTDB_발생량도착량_증가율!$G$7*5)</f>
        <v>929.48975376362978</v>
      </c>
      <c r="J47" s="230">
        <f t="shared" si="6"/>
        <v>929.48975376362944</v>
      </c>
      <c r="K47" s="206"/>
      <c r="L47" s="209" t="s">
        <v>14</v>
      </c>
      <c r="M47" s="213">
        <f>INDEX($A$44:$H$56,MATCH($L47,$B$44:$B$56,0),MATCH($M$43,$A$44:$H$44,0))*고양시_Modal_split!C$3 * 0.01</f>
        <v>0.28523216422104541</v>
      </c>
      <c r="N47" s="207">
        <f>INDEX($A$44:$H$56,MATCH($L47,$B$44:$B$56,0),MATCH($M$43,$A$44:$H$44,0))*고양시_Modal_split!D$3 * 0.01</f>
        <v>47.908816726127746</v>
      </c>
      <c r="O47" s="207">
        <f>INDEX($A$44:$H$56,MATCH($L47,$B$44:$B$56,0),MATCH($M$43,$A$44:$H$44,0))*고양시_Modal_split!E$3 * 0.01</f>
        <v>5.7963250514919595</v>
      </c>
      <c r="P47" s="207">
        <f>INDEX($A$44:$H$56,MATCH($L47,$B$44:$B$56,0),MATCH($M$43,$A$44:$H$44,0))*고양시_Modal_split!F$3 * 0.01</f>
        <v>9.3413533782392388</v>
      </c>
      <c r="Q47" s="207">
        <f>INDEX($A$44:$H$56,MATCH($L47,$B$44:$B$56,0),MATCH($M$43,$A$44:$H$44,0))*고양시_Modal_split!G$3 * 0.01</f>
        <v>0.93719139672629215</v>
      </c>
      <c r="R47" s="207">
        <f>INDEX($A$44:$H$56,MATCH($L47,$B$44:$B$56,0),MATCH($M$43,$A$44:$H$44,0))*고양시_Modal_split!H$3 * 0.01</f>
        <v>1.0186863007894479E-2</v>
      </c>
      <c r="S47" s="207">
        <f>INDEX($A$44:$H$56,MATCH($L47,$B$44:$B$56,0),MATCH($M$43,$A$44:$H$44,0))*고양시_Modal_split!I$3 * 0.01</f>
        <v>2.831947916194665</v>
      </c>
      <c r="T47" s="207">
        <f>INDEX($A$44:$H$56,MATCH($L47,$B$44:$B$56,0),MATCH($M$43,$A$44:$H$44,0))*고양시_Modal_split!J$3 * 0.01</f>
        <v>31.0088109960308</v>
      </c>
      <c r="U47" s="207">
        <f>INDEX($A$44:$H$56,MATCH($L47,$B$44:$B$56,0),MATCH($M$43,$A$44:$H$44,0))*고양시_Modal_split!K$3 * 0.01</f>
        <v>0.15280294511841722</v>
      </c>
      <c r="V47" s="207">
        <f>INDEX($A$44:$H$56,MATCH($L47,$B$44:$B$56,0),MATCH($M$43,$A$44:$H$44,0))*고양시_Modal_split!L$3 * 0.01</f>
        <v>3.0764326283841332</v>
      </c>
      <c r="W47" s="207">
        <f>INDEX($A$44:$H$56,MATCH($L47,$B$44:$B$56,0),MATCH($M$43,$A$44:$H$44,0))*고양시_Modal_split!M$3 * 0.01</f>
        <v>0.23429784918157304</v>
      </c>
      <c r="X47" s="207">
        <f>INDEX($A$44:$H$56,MATCH($L47,$B$44:$B$56,0),MATCH($M$43,$A$44:$H$44,0))*고양시_Modal_split!N$3 * 0.01</f>
        <v>0.10186863007894481</v>
      </c>
      <c r="Y47" s="207">
        <f>INDEX($A$44:$H$56,MATCH($L47,$B$44:$B$56,0),MATCH($M$43,$A$44:$H$44,0))*고양시_Modal_split!O$3 * 0.01</f>
        <v>0.18336353414210063</v>
      </c>
      <c r="Z47" s="214">
        <f>INDEX($A$44:$H$56,MATCH($L47,$B$44:$B$56,0),MATCH($M$43,$A$44:$H$44,0))*고양시_Modal_split!P$3 * 0.01</f>
        <v>101.8686300789448</v>
      </c>
      <c r="AA47" s="213">
        <f>INDEX($A$44:$H$56,MATCH($L47,$B$44:$B$56,0),MATCH($AA$43,$A$44:$H$44,0))*고양시_Modal_split!C$4 * 0.01</f>
        <v>241.12864945737212</v>
      </c>
      <c r="AB47" s="207">
        <f>INDEX($A$44:$H$56,MATCH($L47,$B$44:$B$56,0),MATCH($AA$43,$A$44:$H$44,0))*고양시_Modal_split!D$4 * 0.01</f>
        <v>254.04059750650211</v>
      </c>
      <c r="AC47" s="207">
        <f>INDEX($A$44:$H$56,MATCH($L47,$B$44:$B$56,0),MATCH($AA$43,$A$44:$H$44,0))*고양시_Modal_split!E$4 * 0.01</f>
        <v>61.549592847693212</v>
      </c>
      <c r="AD47" s="207">
        <f>INDEX($A$44:$H$56,MATCH($L47,$B$44:$B$56,0),MATCH($AA$43,$A$44:$H$44,0))*고양시_Modal_split!F$4 * 0.01</f>
        <v>7.5253684948917048</v>
      </c>
      <c r="AE47" s="207">
        <f>INDEX($A$44:$H$56,MATCH($L47,$B$44:$B$56,0),MATCH($AA$43,$A$44:$H$44,0))*고양시_Modal_split!G$4 * 0.01</f>
        <v>92.760068500191423</v>
      </c>
      <c r="AF47" s="207">
        <f>INDEX($A$44:$H$56,MATCH($L47,$B$44:$B$56,0),MATCH($AA$43,$A$44:$H$44,0))*고양시_Modal_split!H$4 * 0.01</f>
        <v>0</v>
      </c>
      <c r="AG47" s="207">
        <f>INDEX($A$44:$H$56,MATCH($L47,$B$44:$B$56,0),MATCH($AA$43,$A$44:$H$44,0))*고양시_Modal_split!I$4 * 0.01</f>
        <v>27.566613012866455</v>
      </c>
      <c r="AH47" s="207">
        <f>INDEX($A$44:$H$56,MATCH($L47,$B$44:$B$56,0),MATCH($AA$43,$A$44:$H$44,0))*고양시_Modal_split!J$4 * 0.01</f>
        <v>37.309984853620982</v>
      </c>
      <c r="AI47" s="207">
        <f>INDEX($A$44:$H$56,MATCH($L47,$B$44:$B$56,0),MATCH($AA$43,$A$44:$H$44,0))*고양시_Modal_split!K$4 * 0.01</f>
        <v>0</v>
      </c>
      <c r="AJ47" s="207">
        <f>INDEX($A$44:$H$56,MATCH($L47,$B$44:$B$56,0),MATCH($AA$43,$A$44:$H$44,0))*고양시_Modal_split!L$4 * 0.01</f>
        <v>36.597055206736506</v>
      </c>
      <c r="AK47" s="207">
        <f>INDEX($A$44:$H$56,MATCH($L47,$B$44:$B$56,0),MATCH($AA$43,$A$44:$H$44,0))*고양시_Modal_split!M$4 * 0.01</f>
        <v>5.3073651490288878</v>
      </c>
      <c r="AL47" s="207">
        <f>INDEX($A$44:$H$56,MATCH($L47,$B$44:$B$56,0),MATCH($AA$43,$A$44:$H$44,0))*고양시_Modal_split!N$4 * 0.01</f>
        <v>19.803601302346593</v>
      </c>
      <c r="AM47" s="207">
        <f>INDEX($A$44:$H$56,MATCH($L47,$B$44:$B$56,0),MATCH($AA$43,$A$44:$H$44,0))*고양시_Modal_split!O$4 * 0.01</f>
        <v>8.5551557626137296</v>
      </c>
      <c r="AN47" s="214">
        <f>INDEX($A$44:$H$56,MATCH($L47,$B$44:$B$56,0),MATCH($AA$43,$A$44:$H$44,0))*고양시_Modal_split!P$4 * 0.01</f>
        <v>792.14405209386371</v>
      </c>
      <c r="AO47" s="213">
        <f>INDEX($A$44:$H$56,MATCH($L47,$B$44:$B$56,0),MATCH($AO$43,$A$44:$H$44,0))*고양시_Modal_split!C$5 * 0.01</f>
        <v>2.1067238889203723E-2</v>
      </c>
      <c r="AP47" s="207">
        <f>INDEX($A$44:$H$56,MATCH($L47,$B$44:$B$56,0),MATCH($AO$43,$A$44:$H$44,0))*고양시_Modal_split!D$5 * 0.01</f>
        <v>25.730121096680815</v>
      </c>
      <c r="AQ47" s="207">
        <f>INDEX($A$44:$H$56,MATCH($L47,$B$44:$B$56,0),MATCH($AO$43,$A$44:$H$44,0))*고양시_Modal_split!E$5 * 0.01</f>
        <v>3.4585383843109443</v>
      </c>
      <c r="AR47" s="207">
        <f>INDEX($A$44:$H$56,MATCH($L47,$B$44:$B$56,0),MATCH($AO$43,$A$44:$H$44,0))*고양시_Modal_split!F$5 * 0.01</f>
        <v>0.73735336112213035</v>
      </c>
      <c r="AS47" s="207">
        <f>INDEX($A$44:$H$56,MATCH($L47,$B$44:$B$56,0),MATCH($AO$43,$A$44:$H$44,0))*고양시_Modal_split!G$5 * 0.01</f>
        <v>0.228228421299707</v>
      </c>
      <c r="AT47" s="207">
        <f>INDEX($A$44:$H$56,MATCH($L47,$B$44:$B$56,0),MATCH($AO$43,$A$44:$H$44,0))*고양시_Modal_split!H$5 * 0.01</f>
        <v>2.4578445370737674E-2</v>
      </c>
      <c r="AU47" s="207">
        <f>INDEX($A$44:$H$56,MATCH($L47,$B$44:$B$56,0),MATCH($AO$43,$A$44:$H$44,0))*고양시_Modal_split!I$5 * 0.01</f>
        <v>0.97260419538490517</v>
      </c>
      <c r="AV47" s="207">
        <f>INDEX($A$44:$H$56,MATCH($L47,$B$44:$B$56,0),MATCH($AO$43,$A$44:$H$44,0))*고양시_Modal_split!J$5 * 0.01</f>
        <v>2.2015264639217893</v>
      </c>
      <c r="AW47" s="207">
        <f>INDEX($A$44:$H$56,MATCH($L47,$B$44:$B$56,0),MATCH($AO$43,$A$44:$H$44,0))*고양시_Modal_split!K$5 * 0.01</f>
        <v>7.022412963067908E-3</v>
      </c>
      <c r="AX47" s="207">
        <f>INDEX($A$44:$H$56,MATCH($L47,$B$44:$B$56,0),MATCH($AO$43,$A$44:$H$44,0))*고양시_Modal_split!L$5 * 0.01</f>
        <v>0.89535765279115809</v>
      </c>
      <c r="AY47" s="207">
        <f>INDEX($A$44:$H$56,MATCH($L47,$B$44:$B$56,0),MATCH($AO$43,$A$44:$H$44,0))*고양시_Modal_split!M$5 * 0.01</f>
        <v>0.2352508342627749</v>
      </c>
      <c r="AZ47" s="207">
        <f>INDEX($A$44:$H$56,MATCH($L47,$B$44:$B$56,0),MATCH($AO$43,$A$44:$H$44,0))*고양시_Modal_split!N$5 * 0.01</f>
        <v>5.9690510186077211E-2</v>
      </c>
      <c r="BA47" s="207">
        <f>INDEX($A$44:$H$56,MATCH($L47,$B$44:$B$56,0),MATCH($AO$43,$A$44:$H$44,0))*고양시_Modal_split!O$5 * 0.01</f>
        <v>0.5407257981562289</v>
      </c>
      <c r="BB47" s="214">
        <f>INDEX($A$44:$H$56,MATCH($L47,$B$44:$B$56,0),MATCH($AO$43,$A$44:$H$44,0))*고양시_Modal_split!P$5 * 0.01</f>
        <v>35.112064815339529</v>
      </c>
      <c r="BC47" s="213">
        <f>INDEX($A$44:$H$56,MATCH($L47,$B$44:$B$56,0),MATCH($BC$43,$A$44:$H$44,0))*고양시_Modal_split!C$6 * 0.01</f>
        <v>0</v>
      </c>
      <c r="BD47" s="207">
        <f>INDEX($A$44:$H$56,MATCH($L47,$B$44:$B$56,0),MATCH($BC$43,$A$44:$H$44,0))*고양시_Modal_split!D$6 * 0.01</f>
        <v>7.8850985419885403E-2</v>
      </c>
      <c r="BE47" s="207">
        <f>INDEX($A$44:$H$56,MATCH($L47,$B$44:$B$56,0),MATCH($BC$43,$A$44:$H$44,0))*고양시_Modal_split!E$6 * 0.01</f>
        <v>4.0944238293141806E-4</v>
      </c>
      <c r="BF47" s="207">
        <f>INDEX($A$44:$H$56,MATCH($L47,$B$44:$B$56,0),MATCH($BC$43,$A$44:$H$44,0))*고양시_Modal_split!F$6 * 0.01</f>
        <v>1.1616737376193721E-3</v>
      </c>
      <c r="BG47" s="207">
        <f>INDEX($A$44:$H$56,MATCH($L47,$B$44:$B$56,0),MATCH($BC$43,$A$44:$H$44,0))*고양시_Modal_split!G$6 * 0.01</f>
        <v>0</v>
      </c>
      <c r="BH47" s="207">
        <f>INDEX($A$44:$H$56,MATCH($L47,$B$44:$B$56,0),MATCH($BC$43,$A$44:$H$44,0))*고양시_Modal_split!H$6 * 0.01</f>
        <v>5.0561373334089077E-3</v>
      </c>
      <c r="BI47" s="207">
        <f>INDEX($A$44:$H$56,MATCH($L47,$B$44:$B$56,0),MATCH($BC$43,$A$44:$H$44,0))*고양시_Modal_split!I$6 * 0.01</f>
        <v>3.3707582222726046E-3</v>
      </c>
      <c r="BJ47" s="207">
        <f>INDEX($A$44:$H$56,MATCH($L47,$B$44:$B$56,0),MATCH($BC$43,$A$44:$H$44,0))*고양시_Modal_split!J$6 * 0.01</f>
        <v>4.7038264457702449E-3</v>
      </c>
      <c r="BK47" s="207">
        <f>INDEX($A$44:$H$56,MATCH($L47,$B$44:$B$56,0),MATCH($BC$43,$A$44:$H$44,0))*고양시_Modal_split!K$6 * 0.01</f>
        <v>0</v>
      </c>
      <c r="BL47" s="207">
        <f>INDEX($A$44:$H$56,MATCH($L47,$B$44:$B$56,0),MATCH($BC$43,$A$44:$H$44,0))*고양시_Modal_split!L$6 * 0.01</f>
        <v>7.2366560704157615E-4</v>
      </c>
      <c r="BM47" s="207">
        <f>INDEX($A$44:$H$56,MATCH($L47,$B$44:$B$56,0),MATCH($BC$43,$A$44:$H$44,0))*고양시_Modal_split!M$6 * 0.01</f>
        <v>8.6649434527346627E-4</v>
      </c>
      <c r="BN47" s="207">
        <f>INDEX($A$44:$H$56,MATCH($L47,$B$44:$B$56,0),MATCH($BC$43,$A$44:$H$44,0))*고양시_Modal_split!N$6 * 0.01</f>
        <v>0</v>
      </c>
      <c r="BO47" s="207">
        <f>INDEX($A$44:$H$56,MATCH($L47,$B$44:$B$56,0),MATCH($BC$43,$A$44:$H$44,0))*고양시_Modal_split!O$6 * 0.01</f>
        <v>7.6175327057008017E-5</v>
      </c>
      <c r="BP47" s="214">
        <f>INDEX($A$44:$H$56,MATCH($L47,$B$44:$B$56,0),MATCH($BC$43,$A$44:$H$44,0))*고양시_Modal_split!P$6 * 0.01</f>
        <v>9.521915882126003E-2</v>
      </c>
      <c r="BQ47" s="213">
        <f>INDEX($A$44:$H$56,MATCH($L47,$B$44:$B$56,0),MATCH($BQ$43,$A$44:$H$44,0))*고양시_Modal_split!C$7 * 0.01</f>
        <v>0</v>
      </c>
      <c r="BR47" s="207">
        <f>INDEX($A$44:$H$56,MATCH($L47,$B$44:$B$56,0),MATCH($BQ$43,$A$44:$H$44,0))*고양시_Modal_split!D$7 * 0.01</f>
        <v>0.16532585148939241</v>
      </c>
      <c r="BS47" s="207">
        <f>INDEX($A$44:$H$56,MATCH($L47,$B$44:$B$56,0),MATCH($BQ$43,$A$44:$H$44,0))*고양시_Modal_split!E$7 * 0.01</f>
        <v>8.0666497381410452E-3</v>
      </c>
      <c r="BT47" s="207">
        <f>INDEX($A$44:$H$56,MATCH($L47,$B$44:$B$56,0),MATCH($BQ$43,$A$44:$H$44,0))*고양시_Modal_split!F$7 * 0.01</f>
        <v>2.6978761666023566E-3</v>
      </c>
      <c r="BU47" s="207">
        <f>INDEX($A$44:$H$56,MATCH($L47,$B$44:$B$56,0),MATCH($BQ$43,$A$44:$H$44,0))*고양시_Modal_split!G$7 * 0.01</f>
        <v>1.1331079899729898E-3</v>
      </c>
      <c r="BV47" s="207">
        <f>INDEX($A$44:$H$56,MATCH($L47,$B$44:$B$56,0),MATCH($BQ$43,$A$44:$H$44,0))*고양시_Modal_split!H$7 * 0.01</f>
        <v>1.5081127771307172E-2</v>
      </c>
      <c r="BW47" s="207">
        <f>INDEX($A$44:$H$56,MATCH($L47,$B$44:$B$56,0),MATCH($BQ$43,$A$44:$H$44,0))*고양시_Modal_split!I$7 * 0.01</f>
        <v>5.0369348030466006E-2</v>
      </c>
      <c r="BX47" s="207">
        <f>INDEX($A$44:$H$56,MATCH($L47,$B$44:$B$56,0),MATCH($BQ$43,$A$44:$H$44,0))*고양시_Modal_split!J$7 * 0.01</f>
        <v>5.395752333204713E-5</v>
      </c>
      <c r="BY47" s="207">
        <f>INDEX($A$44:$H$56,MATCH($L47,$B$44:$B$56,0),MATCH($BQ$43,$A$44:$H$44,0))*고양시_Modal_split!K$7 * 0.01</f>
        <v>2.0773646482838144E-2</v>
      </c>
      <c r="BZ47" s="207">
        <f>INDEX($A$44:$H$56,MATCH($L47,$B$44:$B$56,0),MATCH($BQ$43,$A$44:$H$44,0))*고양시_Modal_split!L$7 * 0.01</f>
        <v>1.8885133166216493E-4</v>
      </c>
      <c r="CA47" s="207">
        <f>INDEX($A$44:$H$56,MATCH($L47,$B$44:$B$56,0),MATCH($BQ$43,$A$44:$H$44,0))*고양시_Modal_split!M$7 * 0.01</f>
        <v>5.0450284315464071E-3</v>
      </c>
      <c r="CB47" s="207">
        <f>INDEX($A$44:$H$56,MATCH($L47,$B$44:$B$56,0),MATCH($BQ$43,$A$44:$H$44,0))*고양시_Modal_split!N$7 * 0.01</f>
        <v>1.0521717049749189E-3</v>
      </c>
      <c r="CC47" s="207">
        <f>INDEX($A$44:$H$56,MATCH($L47,$B$44:$B$56,0),MATCH($BQ$43,$A$44:$H$44,0))*고양시_Modal_split!O$7 * 0.01</f>
        <v>0</v>
      </c>
      <c r="CD47" s="214">
        <f>INDEX($A$44:$H$56,MATCH($L47,$B$44:$B$56,0),MATCH($BQ$43,$A$44:$H$44,0))*고양시_Modal_split!P$7 * 0.01</f>
        <v>0.26978761666023565</v>
      </c>
      <c r="CE47" s="218">
        <f t="shared" si="24"/>
        <v>241.43494886048236</v>
      </c>
      <c r="CF47" s="208">
        <f t="shared" si="7"/>
        <v>327.92371216621996</v>
      </c>
      <c r="CG47" s="208">
        <f t="shared" si="8"/>
        <v>70.81293237561718</v>
      </c>
      <c r="CH47" s="208">
        <f t="shared" si="9"/>
        <v>17.607934784157298</v>
      </c>
      <c r="CI47" s="208">
        <f t="shared" si="10"/>
        <v>93.92662142620739</v>
      </c>
      <c r="CJ47" s="208">
        <f t="shared" si="11"/>
        <v>5.4902573483348233E-2</v>
      </c>
      <c r="CK47" s="208">
        <f t="shared" si="12"/>
        <v>31.424905230698759</v>
      </c>
      <c r="CL47" s="208">
        <f t="shared" si="13"/>
        <v>70.525080097542684</v>
      </c>
      <c r="CM47" s="208">
        <f t="shared" si="14"/>
        <v>0.18059900456432326</v>
      </c>
      <c r="CN47" s="208">
        <f t="shared" si="15"/>
        <v>40.569758004850499</v>
      </c>
      <c r="CO47" s="208">
        <f t="shared" si="16"/>
        <v>5.782825355250055</v>
      </c>
      <c r="CP47" s="208">
        <f t="shared" si="17"/>
        <v>19.966212614316586</v>
      </c>
      <c r="CQ47" s="208">
        <f t="shared" si="18"/>
        <v>9.2793212702391177</v>
      </c>
      <c r="CR47" s="219">
        <f t="shared" si="19"/>
        <v>929.48975376362944</v>
      </c>
      <c r="CS47" s="225">
        <f t="shared" si="25"/>
        <v>0</v>
      </c>
      <c r="CV47" s="265"/>
      <c r="CW47" s="266" t="s">
        <v>14</v>
      </c>
      <c r="CX47" s="267">
        <f>INDEX($M$43:$Z$56,MATCH($CW47,$L$43:$L$56,0),MATCH(CX$44,$M$44:$Z$44,0))/INDEX(고양시_재차인원!$D$4:$H$35,MATCH("고양시",고양시_재차인원!$B$4:$B$35,0),MATCH('A.일산테크노밸리(859991)_수정'!$CX$43,고양시_재차인원!$D$4:$H$4,0))</f>
        <v>42.775729219756911</v>
      </c>
      <c r="CY47" s="267">
        <f>INDEX($M$43:$Z$56,MATCH($CW47,$L$43:$L$56,0),MATCH(CY$44,$M$44:$Z$44,0))/INDEX(고양시_재차인원!$K$4:$O$20,MATCH("경기도",고양시_재차인원!$K$4:$K$20,0),MATCH('A.일산테크노밸리(859991)_수정'!CY$44,고양시_재차인원!$K$4:$O$4,0))</f>
        <v>3.5383337991991943E-4</v>
      </c>
      <c r="CZ47" s="267">
        <f>INDEX($M$43:$Z$56,MATCH($CW47,$L$43:$L$56,0),MATCH(CZ$44,$M$44:$Z$44,0))/INDEX(고양시_재차인원!$K$4:$O$20,MATCH("경기도",고양시_재차인원!$K$4:$K$20,0),MATCH('A.일산테크노밸리(859991)_수정'!CZ$44,고양시_재차인원!$K$4:$O$4,0))</f>
        <v>9.8365679617737581E-2</v>
      </c>
      <c r="DA47" s="267">
        <f>INDEX($M$43:$Z$56,MATCH($CW47,$L$43:$L$56,0),MATCH(DA$44,$M$44:$Z$44,0))/INDEX(고양시_재차인원!$K$4:$O$20,MATCH("경기도",고양시_재차인원!$K$4:$K$20,0),MATCH('A.일산테크노밸리(859991)_수정'!DA$44,고양시_재차인원!$K$4:$O$4,0))</f>
        <v>2.0509550855894223</v>
      </c>
      <c r="DB47" s="268">
        <f>INDEX($AA$43:$AN$56,MATCH($CW47,$L$43:$L$56,0),MATCH(DB$44,$AA$44:$AN$44,0))/INDEX(고양시_재차인원!$D$4:$H$35,MATCH("고양시",고양시_재차인원!$B$4:$B$35,0),MATCH('A.일산테크노밸리(859991)_수정'!$DB$43,고양시_재차인원!$D$4:$H$4,0))</f>
        <v>180.17063652943412</v>
      </c>
      <c r="DC47" s="267">
        <f>INDEX($AA$43:$AN$56,MATCH($CW47,$L$43:$L$56,0),MATCH(DC$44,$AA$44:$AN$44,0))/INDEX(고양시_재차인원!$K$4:$O$20,MATCH("경기도",고양시_재차인원!$K$4:$K$20,0),MATCH('A.일산테크노밸리(859991)_수정'!DC$44,고양시_재차인원!$K$4:$O$4,0))</f>
        <v>0</v>
      </c>
      <c r="DD47" s="267">
        <f>INDEX($AA$43:$AN$56,MATCH($CW47,$L$43:$L$56,0),MATCH(DD$44,$AA$44:$AN$44,0))/INDEX(고양시_재차인원!$K$4:$O$20,MATCH("경기도",고양시_재차인원!$K$4:$K$20,0),MATCH('A.일산테크노밸리(859991)_수정'!DD$44,고양시_재차인원!$K$4:$O$4,0))</f>
        <v>0.95750653049206169</v>
      </c>
      <c r="DE47" s="267">
        <f>INDEX($AA$43:$AN$56,MATCH($CW47,$L$43:$L$56,0),MATCH(DE$44,$AA$44:$AN$44,0))/INDEX(고양시_재차인원!$K$4:$O$20,MATCH("경기도",고양시_재차인원!$K$4:$K$20,0),MATCH('A.일산테크노밸리(859991)_수정'!DE$44,고양시_재차인원!$K$4:$O$4,0))</f>
        <v>24.398036804491003</v>
      </c>
      <c r="DF47" s="268">
        <f>INDEX($AO$43:$BB$56,MATCH($CW47,$L$43:$L$56,0),MATCH(DF$44,$AO$44:$BB$44,0))/INDEX(고양시_재차인원!$D$4:$H$35,MATCH("고양시",고양시_재차인원!$B$4:$B$35,0),MATCH('A.일산테크노밸리(859991)_수정'!$DF$43,고양시_재차인원!$D$4:$H$4,0))</f>
        <v>19.792400843600625</v>
      </c>
      <c r="DG47" s="267">
        <f>INDEX($AO$43:$BB$56,MATCH($CW47,$L$43:$L$56,0),MATCH(DG$44,$AO$44:$BB$44,0))/INDEX(고양시_재차인원!$K$4:$O$20,MATCH("경기도",고양시_재차인원!$K$4:$K$20,0),MATCH('A.일산테크노밸리(859991)_수정'!DG$44,고양시_재차인원!$K$4:$O$4,0))</f>
        <v>8.5371467074462227E-4</v>
      </c>
      <c r="DH47" s="267">
        <f>INDEX($AO$43:$BB$56,MATCH($CW47,$L$43:$L$56,0),MATCH(DH$44,$AO$44:$BB$44,0))/INDEX(고양시_재차인원!$K$4:$O$20,MATCH("경기도",고양시_재차인원!$K$4:$K$20,0),MATCH('A.일산테크노밸리(859991)_수정'!DH$44,고양시_재차인원!$K$4:$O$4,0))</f>
        <v>3.3782709113751482E-2</v>
      </c>
      <c r="DI47" s="267">
        <f>INDEX($AO$43:$BB$56,MATCH($CW47,$L$43:$L$56,0),MATCH(DI$44,$AO$44:$BB$44,0))/INDEX(고양시_재차인원!$K$4:$O$20,MATCH("경기도",고양시_재차인원!$K$4:$K$20,0),MATCH('A.일산테크노밸리(859991)_수정'!DI$44,고양시_재차인원!$K$4:$O$4,0))</f>
        <v>0.59690510186077206</v>
      </c>
      <c r="DJ47" s="268">
        <f>INDEX($BC$43:$BP$56,MATCH($CW47,$L$43:$L$56,0),MATCH(DJ$44,$BC$44:$BP$44,0))/INDEX(고양시_재차인원!$D$4:$H$35,MATCH("고양시",고양시_재차인원!$B$4:$B$35,0),MATCH('A.일산테크노밸리(859991)_수정'!$DJ$43,고양시_재차인원!$D$4:$H$4,0))</f>
        <v>5.7978665749915732E-2</v>
      </c>
      <c r="DK47" s="267">
        <f>INDEX($BC$43:$BP$56,MATCH($CW47,$L$43:$L$56,0),MATCH(DK$44,$BC$44:$BP$44,0))/INDEX(고양시_재차인원!$K$4:$O$20,MATCH("경기도",고양시_재차인원!$K$4:$K$20,0),MATCH('A.일산테크노밸리(859991)_수정'!DK$44,고양시_재차인원!$K$4:$O$4,0))</f>
        <v>1.7562130369603709E-4</v>
      </c>
      <c r="DL47" s="267">
        <f>INDEX($BC$43:$BP$56,MATCH($CW47,$L$43:$L$56,0),MATCH(DL$44,$BC$44:$BP$44,0))/INDEX(고양시_재차인원!$K$4:$O$20,MATCH("경기도",고양시_재차인원!$K$4:$K$20,0),MATCH('A.일산테크노밸리(859991)_수정'!DL$44,고양시_재차인원!$K$4:$O$4,0))</f>
        <v>1.1708086913069138E-4</v>
      </c>
      <c r="DM47" s="267">
        <f>INDEX($BC$43:$BP$56,MATCH($CW47,$L$43:$L$56,0),MATCH(DM$44,$BC$44:$BP$44,0))/INDEX(고양시_재차인원!$K$4:$O$20,MATCH("경기도",고양시_재차인원!$K$4:$K$20,0),MATCH('A.일산테크노밸리(859991)_수정'!DM$44,고양시_재차인원!$K$4:$O$4,0))</f>
        <v>4.8244373802771743E-4</v>
      </c>
      <c r="DN47" s="268">
        <f>INDEX($BQ$43:$CD$56,MATCH($CW47,$L$43:$L$56,0),MATCH(DN$44,$BQ$44:$CD$44,0))/INDEX(고양시_재차인원!$D$4:$H$35,MATCH("고양시",고양시_재차인원!$B$4:$B$35,0),MATCH('A.일산테크노밸리(859991)_수정'!$DN$43,고양시_재차인원!$D$4:$H$4,0))</f>
        <v>0.13121099324554952</v>
      </c>
      <c r="DO47" s="267">
        <f>INDEX($BQ$43:$CD$56,MATCH($CW47,$L$43:$L$56,0),MATCH(DO$44,$BQ$44:$CD$44,0))/INDEX(고양시_재차인원!$K$4:$O$20,MATCH("경기도",고양시_재차인원!$K$4:$K$20,0),MATCH('A.일산테크노밸리(859991)_수정'!DO$44,고양시_재차인원!$K$4:$O$4,0))</f>
        <v>5.2383215600233324E-4</v>
      </c>
      <c r="DP47" s="267">
        <f>INDEX($BQ$43:$CD$56,MATCH($CW47,$L$43:$L$56,0),MATCH(DP$44,$BQ$44:$CD$44,0))/INDEX(고양시_재차인원!$K$4:$O$20,MATCH("경기도",고양시_재차인원!$K$4:$K$20,0),MATCH('A.일산테크노밸리(859991)_수정'!DP$44,고양시_재차인원!$K$4:$O$4,0))</f>
        <v>1.7495431757716571E-3</v>
      </c>
      <c r="DQ47" s="267">
        <f>INDEX($BQ$43:$CD$56,MATCH($CW47,$L$43:$L$56,0),MATCH(DQ$44,$BQ$44:$CD$44,0))/INDEX(고양시_재차인원!$K$4:$O$20,MATCH("경기도",고양시_재차인원!$K$4:$K$20,0),MATCH('A.일산테크노밸리(859991)_수정'!DQ$44,고양시_재차인원!$K$4:$O$4,0))</f>
        <v>1.2590088777477662E-4</v>
      </c>
      <c r="DR47" s="269">
        <f t="shared" si="26"/>
        <v>242.92795625178715</v>
      </c>
      <c r="DS47" s="270">
        <f t="shared" si="20"/>
        <v>1.9070015103629118E-3</v>
      </c>
      <c r="DT47" s="270">
        <f t="shared" si="21"/>
        <v>1.0915215432684531</v>
      </c>
      <c r="DU47" s="270">
        <f t="shared" si="22"/>
        <v>27.046505336567002</v>
      </c>
      <c r="DW47" s="278"/>
      <c r="DX47" s="278" t="s">
        <v>591</v>
      </c>
      <c r="DY47" s="281">
        <f t="shared" si="27"/>
        <v>269.97446158835413</v>
      </c>
      <c r="DZ47" s="281">
        <f t="shared" si="28"/>
        <v>1.0934285447788159</v>
      </c>
      <c r="EC47" s="412" t="s">
        <v>13</v>
      </c>
      <c r="ED47" s="412" t="s">
        <v>76</v>
      </c>
      <c r="EE47" s="412">
        <v>3134.9627</v>
      </c>
      <c r="EF47" s="412">
        <v>0.77555789932683494</v>
      </c>
      <c r="EG47" s="413">
        <v>859003</v>
      </c>
      <c r="EH47" s="414">
        <f t="shared" si="29"/>
        <v>27.306477859673215</v>
      </c>
      <c r="EI47" s="415">
        <f t="shared" si="30"/>
        <v>0.11059446946749803</v>
      </c>
      <c r="EJ47" s="402">
        <v>0</v>
      </c>
      <c r="EM47" s="278" t="s">
        <v>13</v>
      </c>
      <c r="EN47" s="278" t="s">
        <v>76</v>
      </c>
      <c r="EO47" s="278">
        <v>3134.9627</v>
      </c>
      <c r="EP47" s="278">
        <v>0.77555789932683494</v>
      </c>
      <c r="EQ47" s="289">
        <v>859003</v>
      </c>
      <c r="ER47" s="290">
        <f t="shared" si="31"/>
        <v>27.306477859673215</v>
      </c>
      <c r="ES47" s="291">
        <f t="shared" si="23"/>
        <v>0.11059446946749803</v>
      </c>
      <c r="ET47" s="402">
        <v>0</v>
      </c>
      <c r="EV47" s="34"/>
      <c r="EW47" s="34"/>
      <c r="EX47" s="34"/>
      <c r="EY47" s="34"/>
      <c r="EZ47" s="378"/>
      <c r="FA47" s="401"/>
      <c r="FB47" s="402"/>
      <c r="FC47" s="402"/>
    </row>
    <row r="48" spans="1:159" ht="27" customHeight="1">
      <c r="A48" s="205"/>
      <c r="B48" s="205" t="s">
        <v>15</v>
      </c>
      <c r="C48" s="400">
        <f>'A.일산테크노밸리(859991)_수정'!$P31*KTDB_TripDistribution_2045!L$12 * (1 + KTDB_발생량도착량_증가율!$D$7*5) * (1 + KTDB_발생량도착량_증가율!$E$7*5) * (1 + KTDB_발생량도착량_증가율!$F$7*5) * (1 + KTDB_발생량도착량_증가율!$G$7*5)</f>
        <v>2874.4196037937272</v>
      </c>
      <c r="D48" s="400">
        <f>'A.일산테크노밸리(859991)_수정'!$P31*KTDB_TripDistribution_2045!M$12 * (1 + KTDB_발생량도착량_증가율!$D$7*5) * (1 + KTDB_발생량도착량_증가율!$E$7*5) * (1 + KTDB_발생량도착량_증가율!$F$7*5) * (1 + KTDB_발생량도착량_증가율!$G$7*5)</f>
        <v>22351.870154753607</v>
      </c>
      <c r="E48" s="400">
        <f>'A.일산테크노밸리(859991)_수정'!$P31*KTDB_TripDistribution_2045!N$12 * (1 + KTDB_발생량도착량_증가율!$D$7*5) * (1 + KTDB_발생량도착량_증가율!$E$7*5) * (1 + KTDB_발생량도착량_증가율!$F$7*5) * (1 + KTDB_발생량도착량_증가율!$G$7*5)</f>
        <v>990.75453706085023</v>
      </c>
      <c r="F48" s="400">
        <f>'A.일산테크노밸리(859991)_수정'!$P31*KTDB_TripDistribution_2045!O$12 * (1 + KTDB_발생량도착량_증가율!$D$7*5) * (1 + KTDB_발생량도착량_증가율!$E$7*5) * (1 + KTDB_발생량도착량_증가율!$F$7*5) * (1 + KTDB_발생량도착량_증가율!$G$7*5)</f>
        <v>2.6867919649107868</v>
      </c>
      <c r="G48" s="400">
        <f>'A.일산테크노밸리(859991)_수정'!$P31*KTDB_TripDistribution_2045!P$12 * (1 + KTDB_발생량도착량_증가율!$D$7*5) * (1 + KTDB_발생량도착량_증가율!$E$7*5) * (1 + KTDB_발생량도착량_증가율!$F$7*5) * (1 + KTDB_발생량도착량_증가율!$G$7*5)</f>
        <v>7.6125772339138686</v>
      </c>
      <c r="H48" s="400">
        <f>'A.일산테크노밸리(859991)_수정'!$P31*KTDB_TripDistribution_2045!Q$12 * (1 + KTDB_발생량도착량_증가율!$D$7*5) * (1 + KTDB_발생량도착량_증가율!$E$7*5) * (1 + KTDB_발생량도착량_증가율!$F$7*5) * (1 + KTDB_발생량도착량_증가율!$G$7*5)</f>
        <v>26227.343664807013</v>
      </c>
      <c r="J48" s="230">
        <f t="shared" si="6"/>
        <v>26227.343664807009</v>
      </c>
      <c r="K48" s="206"/>
      <c r="L48" s="209" t="s">
        <v>15</v>
      </c>
      <c r="M48" s="213">
        <f>INDEX($A$44:$H$56,MATCH($L48,$B$44:$B$56,0),MATCH($M$43,$A$44:$H$44,0))*고양시_Modal_split!C$3 * 0.01</f>
        <v>8.0483748906224353</v>
      </c>
      <c r="N48" s="207">
        <f>INDEX($A$44:$H$56,MATCH($L48,$B$44:$B$56,0),MATCH($M$43,$A$44:$H$44,0))*고양시_Modal_split!D$3 * 0.01</f>
        <v>1351.8395396641902</v>
      </c>
      <c r="O48" s="207">
        <f>INDEX($A$44:$H$56,MATCH($L48,$B$44:$B$56,0),MATCH($M$43,$A$44:$H$44,0))*고양시_Modal_split!E$3 * 0.01</f>
        <v>163.55447545586307</v>
      </c>
      <c r="P48" s="207">
        <f>INDEX($A$44:$H$56,MATCH($L48,$B$44:$B$56,0),MATCH($M$43,$A$44:$H$44,0))*고양시_Modal_split!F$3 * 0.01</f>
        <v>263.58427766788481</v>
      </c>
      <c r="Q48" s="207">
        <f>INDEX($A$44:$H$56,MATCH($L48,$B$44:$B$56,0),MATCH($M$43,$A$44:$H$44,0))*고양시_Modal_split!G$3 * 0.01</f>
        <v>26.44466035490229</v>
      </c>
      <c r="R48" s="207">
        <f>INDEX($A$44:$H$56,MATCH($L48,$B$44:$B$56,0),MATCH($M$43,$A$44:$H$44,0))*고양시_Modal_split!H$3 * 0.01</f>
        <v>0.2874419603793727</v>
      </c>
      <c r="S48" s="207">
        <f>INDEX($A$44:$H$56,MATCH($L48,$B$44:$B$56,0),MATCH($M$43,$A$44:$H$44,0))*고양시_Modal_split!I$3 * 0.01</f>
        <v>79.908864985465613</v>
      </c>
      <c r="T48" s="207">
        <f>INDEX($A$44:$H$56,MATCH($L48,$B$44:$B$56,0),MATCH($M$43,$A$44:$H$44,0))*고양시_Modal_split!J$3 * 0.01</f>
        <v>874.97332739481067</v>
      </c>
      <c r="U48" s="207">
        <f>INDEX($A$44:$H$56,MATCH($L48,$B$44:$B$56,0),MATCH($M$43,$A$44:$H$44,0))*고양시_Modal_split!K$3 * 0.01</f>
        <v>4.3116294056905904</v>
      </c>
      <c r="V48" s="207">
        <f>INDEX($A$44:$H$56,MATCH($L48,$B$44:$B$56,0),MATCH($M$43,$A$44:$H$44,0))*고양시_Modal_split!L$3 * 0.01</f>
        <v>86.807472034570566</v>
      </c>
      <c r="W48" s="207">
        <f>INDEX($A$44:$H$56,MATCH($L48,$B$44:$B$56,0),MATCH($M$43,$A$44:$H$44,0))*고양시_Modal_split!M$3 * 0.01</f>
        <v>6.6111650887255724</v>
      </c>
      <c r="X48" s="207">
        <f>INDEX($A$44:$H$56,MATCH($L48,$B$44:$B$56,0),MATCH($M$43,$A$44:$H$44,0))*고양시_Modal_split!N$3 * 0.01</f>
        <v>2.8744196037937275</v>
      </c>
      <c r="Y48" s="207">
        <f>INDEX($A$44:$H$56,MATCH($L48,$B$44:$B$56,0),MATCH($M$43,$A$44:$H$44,0))*고양시_Modal_split!O$3 * 0.01</f>
        <v>5.1739552868287095</v>
      </c>
      <c r="Z48" s="214">
        <f>INDEX($A$44:$H$56,MATCH($L48,$B$44:$B$56,0),MATCH($M$43,$A$44:$H$44,0))*고양시_Modal_split!P$3 * 0.01</f>
        <v>2874.4196037937272</v>
      </c>
      <c r="AA48" s="213">
        <f>INDEX($A$44:$H$56,MATCH($L48,$B$44:$B$56,0),MATCH($AA$43,$A$44:$H$44,0))*고양시_Modal_split!C$4 * 0.01</f>
        <v>6803.9092751069984</v>
      </c>
      <c r="AB48" s="207">
        <f>INDEX($A$44:$H$56,MATCH($L48,$B$44:$B$56,0),MATCH($AA$43,$A$44:$H$44,0))*고양시_Modal_split!D$4 * 0.01</f>
        <v>7168.244758629482</v>
      </c>
      <c r="AC48" s="207">
        <f>INDEX($A$44:$H$56,MATCH($L48,$B$44:$B$56,0),MATCH($AA$43,$A$44:$H$44,0))*고양시_Modal_split!E$4 * 0.01</f>
        <v>1736.7403110243556</v>
      </c>
      <c r="AD48" s="207">
        <f>INDEX($A$44:$H$56,MATCH($L48,$B$44:$B$56,0),MATCH($AA$43,$A$44:$H$44,0))*고양시_Modal_split!F$4 * 0.01</f>
        <v>212.34276647015926</v>
      </c>
      <c r="AE48" s="207">
        <f>INDEX($A$44:$H$56,MATCH($L48,$B$44:$B$56,0),MATCH($AA$43,$A$44:$H$44,0))*고양시_Modal_split!G$4 * 0.01</f>
        <v>2617.4039951216473</v>
      </c>
      <c r="AF48" s="207">
        <f>INDEX($A$44:$H$56,MATCH($L48,$B$44:$B$56,0),MATCH($AA$43,$A$44:$H$44,0))*고양시_Modal_split!H$4 * 0.01</f>
        <v>0</v>
      </c>
      <c r="AG48" s="207">
        <f>INDEX($A$44:$H$56,MATCH($L48,$B$44:$B$56,0),MATCH($AA$43,$A$44:$H$44,0))*고양시_Modal_split!I$4 * 0.01</f>
        <v>777.84508138542549</v>
      </c>
      <c r="AH48" s="207">
        <f>INDEX($A$44:$H$56,MATCH($L48,$B$44:$B$56,0),MATCH($AA$43,$A$44:$H$44,0))*고양시_Modal_split!J$4 * 0.01</f>
        <v>1052.773084288895</v>
      </c>
      <c r="AI48" s="207">
        <f>INDEX($A$44:$H$56,MATCH($L48,$B$44:$B$56,0),MATCH($AA$43,$A$44:$H$44,0))*고양시_Modal_split!K$4 * 0.01</f>
        <v>0</v>
      </c>
      <c r="AJ48" s="207">
        <f>INDEX($A$44:$H$56,MATCH($L48,$B$44:$B$56,0),MATCH($AA$43,$A$44:$H$44,0))*고양시_Modal_split!L$4 * 0.01</f>
        <v>1032.6564011496168</v>
      </c>
      <c r="AK48" s="207">
        <f>INDEX($A$44:$H$56,MATCH($L48,$B$44:$B$56,0),MATCH($AA$43,$A$44:$H$44,0))*고양시_Modal_split!M$4 * 0.01</f>
        <v>149.75753003684918</v>
      </c>
      <c r="AL48" s="207">
        <f>INDEX($A$44:$H$56,MATCH($L48,$B$44:$B$56,0),MATCH($AA$43,$A$44:$H$44,0))*고양시_Modal_split!N$4 * 0.01</f>
        <v>558.79675386884014</v>
      </c>
      <c r="AM48" s="207">
        <f>INDEX($A$44:$H$56,MATCH($L48,$B$44:$B$56,0),MATCH($AA$43,$A$44:$H$44,0))*고양시_Modal_split!O$4 * 0.01</f>
        <v>241.40019767133899</v>
      </c>
      <c r="AN48" s="214">
        <f>INDEX($A$44:$H$56,MATCH($L48,$B$44:$B$56,0),MATCH($AA$43,$A$44:$H$44,0))*고양시_Modal_split!P$4 * 0.01</f>
        <v>22351.870154753607</v>
      </c>
      <c r="AO48" s="213">
        <f>INDEX($A$44:$H$56,MATCH($L48,$B$44:$B$56,0),MATCH($AO$43,$A$44:$H$44,0))*고양시_Modal_split!C$5 * 0.01</f>
        <v>0.59445272223651013</v>
      </c>
      <c r="AP48" s="207">
        <f>INDEX($A$44:$H$56,MATCH($L48,$B$44:$B$56,0),MATCH($AO$43,$A$44:$H$44,0))*고양시_Modal_split!D$5 * 0.01</f>
        <v>726.0249247581911</v>
      </c>
      <c r="AQ48" s="207">
        <f>INDEX($A$44:$H$56,MATCH($L48,$B$44:$B$56,0),MATCH($AO$43,$A$44:$H$44,0))*고양시_Modal_split!E$5 * 0.01</f>
        <v>97.589321900493744</v>
      </c>
      <c r="AR48" s="207">
        <f>INDEX($A$44:$H$56,MATCH($L48,$B$44:$B$56,0),MATCH($AO$43,$A$44:$H$44,0))*고양시_Modal_split!F$5 * 0.01</f>
        <v>20.805845278277857</v>
      </c>
      <c r="AS48" s="207">
        <f>INDEX($A$44:$H$56,MATCH($L48,$B$44:$B$56,0),MATCH($AO$43,$A$44:$H$44,0))*고양시_Modal_split!G$5 * 0.01</f>
        <v>6.4399044908955263</v>
      </c>
      <c r="AT48" s="207">
        <f>INDEX($A$44:$H$56,MATCH($L48,$B$44:$B$56,0),MATCH($AO$43,$A$44:$H$44,0))*고양시_Modal_split!H$5 * 0.01</f>
        <v>0.69352817594259508</v>
      </c>
      <c r="AU48" s="207">
        <f>INDEX($A$44:$H$56,MATCH($L48,$B$44:$B$56,0),MATCH($AO$43,$A$44:$H$44,0))*고양시_Modal_split!I$5 * 0.01</f>
        <v>27.44390067658555</v>
      </c>
      <c r="AV48" s="207">
        <f>INDEX($A$44:$H$56,MATCH($L48,$B$44:$B$56,0),MATCH($AO$43,$A$44:$H$44,0))*고양시_Modal_split!J$5 * 0.01</f>
        <v>62.120309473715317</v>
      </c>
      <c r="AW48" s="207">
        <f>INDEX($A$44:$H$56,MATCH($L48,$B$44:$B$56,0),MATCH($AO$43,$A$44:$H$44,0))*고양시_Modal_split!K$5 * 0.01</f>
        <v>0.19815090741217006</v>
      </c>
      <c r="AX48" s="207">
        <f>INDEX($A$44:$H$56,MATCH($L48,$B$44:$B$56,0),MATCH($AO$43,$A$44:$H$44,0))*고양시_Modal_split!L$5 * 0.01</f>
        <v>25.264240695051683</v>
      </c>
      <c r="AY48" s="207">
        <f>INDEX($A$44:$H$56,MATCH($L48,$B$44:$B$56,0),MATCH($AO$43,$A$44:$H$44,0))*고양시_Modal_split!M$5 * 0.01</f>
        <v>6.6380553983076975</v>
      </c>
      <c r="AZ48" s="207">
        <f>INDEX($A$44:$H$56,MATCH($L48,$B$44:$B$56,0),MATCH($AO$43,$A$44:$H$44,0))*고양시_Modal_split!N$5 * 0.01</f>
        <v>1.6842827130034455</v>
      </c>
      <c r="BA48" s="207">
        <f>INDEX($A$44:$H$56,MATCH($L48,$B$44:$B$56,0),MATCH($AO$43,$A$44:$H$44,0))*고양시_Modal_split!O$5 * 0.01</f>
        <v>15.257619870737095</v>
      </c>
      <c r="BB48" s="214">
        <f>INDEX($A$44:$H$56,MATCH($L48,$B$44:$B$56,0),MATCH($AO$43,$A$44:$H$44,0))*고양시_Modal_split!P$5 * 0.01</f>
        <v>990.75453706085011</v>
      </c>
      <c r="BC48" s="213">
        <f>INDEX($A$44:$H$56,MATCH($L48,$B$44:$B$56,0),MATCH($BC$43,$A$44:$H$44,0))*고양시_Modal_split!C$6 * 0.01</f>
        <v>0</v>
      </c>
      <c r="BD48" s="207">
        <f>INDEX($A$44:$H$56,MATCH($L48,$B$44:$B$56,0),MATCH($BC$43,$A$44:$H$44,0))*고양시_Modal_split!D$6 * 0.01</f>
        <v>2.224932426142622</v>
      </c>
      <c r="BE48" s="207">
        <f>INDEX($A$44:$H$56,MATCH($L48,$B$44:$B$56,0),MATCH($BC$43,$A$44:$H$44,0))*고양시_Modal_split!E$6 * 0.01</f>
        <v>1.1553205449116383E-2</v>
      </c>
      <c r="BF48" s="207">
        <f>INDEX($A$44:$H$56,MATCH($L48,$B$44:$B$56,0),MATCH($BC$43,$A$44:$H$44,0))*고양시_Modal_split!F$6 * 0.01</f>
        <v>3.2778861971911599E-2</v>
      </c>
      <c r="BG48" s="207">
        <f>INDEX($A$44:$H$56,MATCH($L48,$B$44:$B$56,0),MATCH($BC$43,$A$44:$H$44,0))*고양시_Modal_split!G$6 * 0.01</f>
        <v>0</v>
      </c>
      <c r="BH48" s="207">
        <f>INDEX($A$44:$H$56,MATCH($L48,$B$44:$B$56,0),MATCH($BC$43,$A$44:$H$44,0))*고양시_Modal_split!H$6 * 0.01</f>
        <v>0.14266865333676279</v>
      </c>
      <c r="BI48" s="207">
        <f>INDEX($A$44:$H$56,MATCH($L48,$B$44:$B$56,0),MATCH($BC$43,$A$44:$H$44,0))*고양시_Modal_split!I$6 * 0.01</f>
        <v>9.5112435557841851E-2</v>
      </c>
      <c r="BJ48" s="207">
        <f>INDEX($A$44:$H$56,MATCH($L48,$B$44:$B$56,0),MATCH($BC$43,$A$44:$H$44,0))*고양시_Modal_split!J$6 * 0.01</f>
        <v>0.13272752306659286</v>
      </c>
      <c r="BK48" s="207">
        <f>INDEX($A$44:$H$56,MATCH($L48,$B$44:$B$56,0),MATCH($BC$43,$A$44:$H$44,0))*고양시_Modal_split!K$6 * 0.01</f>
        <v>0</v>
      </c>
      <c r="BL48" s="207">
        <f>INDEX($A$44:$H$56,MATCH($L48,$B$44:$B$56,0),MATCH($BC$43,$A$44:$H$44,0))*고양시_Modal_split!L$6 * 0.01</f>
        <v>2.0419618933321983E-2</v>
      </c>
      <c r="BM48" s="207">
        <f>INDEX($A$44:$H$56,MATCH($L48,$B$44:$B$56,0),MATCH($BC$43,$A$44:$H$44,0))*고양시_Modal_split!M$6 * 0.01</f>
        <v>2.4449806880688159E-2</v>
      </c>
      <c r="BN48" s="207">
        <f>INDEX($A$44:$H$56,MATCH($L48,$B$44:$B$56,0),MATCH($BC$43,$A$44:$H$44,0))*고양시_Modal_split!N$6 * 0.01</f>
        <v>0</v>
      </c>
      <c r="BO48" s="207">
        <f>INDEX($A$44:$H$56,MATCH($L48,$B$44:$B$56,0),MATCH($BC$43,$A$44:$H$44,0))*고양시_Modal_split!O$6 * 0.01</f>
        <v>2.1494335719286295E-3</v>
      </c>
      <c r="BP48" s="214">
        <f>INDEX($A$44:$H$56,MATCH($L48,$B$44:$B$56,0),MATCH($BC$43,$A$44:$H$44,0))*고양시_Modal_split!P$6 * 0.01</f>
        <v>2.6867919649107872</v>
      </c>
      <c r="BQ48" s="213">
        <f>INDEX($A$44:$H$56,MATCH($L48,$B$44:$B$56,0),MATCH($BQ$43,$A$44:$H$44,0))*고양시_Modal_split!C$7 * 0.01</f>
        <v>0</v>
      </c>
      <c r="BR48" s="207">
        <f>INDEX($A$44:$H$56,MATCH($L48,$B$44:$B$56,0),MATCH($BQ$43,$A$44:$H$44,0))*고양시_Modal_split!D$7 * 0.01</f>
        <v>4.6649873289424191</v>
      </c>
      <c r="BS48" s="207">
        <f>INDEX($A$44:$H$56,MATCH($L48,$B$44:$B$56,0),MATCH($BQ$43,$A$44:$H$44,0))*고양시_Modal_split!E$7 * 0.01</f>
        <v>0.22761605929402465</v>
      </c>
      <c r="BT48" s="207">
        <f>INDEX($A$44:$H$56,MATCH($L48,$B$44:$B$56,0),MATCH($BQ$43,$A$44:$H$44,0))*고양시_Modal_split!F$7 * 0.01</f>
        <v>7.6125772339138684E-2</v>
      </c>
      <c r="BU48" s="207">
        <f>INDEX($A$44:$H$56,MATCH($L48,$B$44:$B$56,0),MATCH($BQ$43,$A$44:$H$44,0))*고양시_Modal_split!G$7 * 0.01</f>
        <v>3.1972824382438245E-2</v>
      </c>
      <c r="BV48" s="207">
        <f>INDEX($A$44:$H$56,MATCH($L48,$B$44:$B$56,0),MATCH($BQ$43,$A$44:$H$44,0))*고양시_Modal_split!H$7 * 0.01</f>
        <v>0.42554306737578523</v>
      </c>
      <c r="BW48" s="207">
        <f>INDEX($A$44:$H$56,MATCH($L48,$B$44:$B$56,0),MATCH($BQ$43,$A$44:$H$44,0))*고양시_Modal_split!I$7 * 0.01</f>
        <v>1.4212681695717195</v>
      </c>
      <c r="BX48" s="207">
        <f>INDEX($A$44:$H$56,MATCH($L48,$B$44:$B$56,0),MATCH($BQ$43,$A$44:$H$44,0))*고양시_Modal_split!J$7 * 0.01</f>
        <v>1.5225154467827736E-3</v>
      </c>
      <c r="BY48" s="207">
        <f>INDEX($A$44:$H$56,MATCH($L48,$B$44:$B$56,0),MATCH($BQ$43,$A$44:$H$44,0))*고양시_Modal_split!K$7 * 0.01</f>
        <v>0.58616844701136794</v>
      </c>
      <c r="BZ48" s="207">
        <f>INDEX($A$44:$H$56,MATCH($L48,$B$44:$B$56,0),MATCH($BQ$43,$A$44:$H$44,0))*고양시_Modal_split!L$7 * 0.01</f>
        <v>5.3288040637397074E-3</v>
      </c>
      <c r="CA48" s="207">
        <f>INDEX($A$44:$H$56,MATCH($L48,$B$44:$B$56,0),MATCH($BQ$43,$A$44:$H$44,0))*고양시_Modal_split!M$7 * 0.01</f>
        <v>0.14235519427418936</v>
      </c>
      <c r="CB48" s="207">
        <f>INDEX($A$44:$H$56,MATCH($L48,$B$44:$B$56,0),MATCH($BQ$43,$A$44:$H$44,0))*고양시_Modal_split!N$7 * 0.01</f>
        <v>2.9689051212264086E-2</v>
      </c>
      <c r="CC48" s="207">
        <f>INDEX($A$44:$H$56,MATCH($L48,$B$44:$B$56,0),MATCH($BQ$43,$A$44:$H$44,0))*고양시_Modal_split!O$7 * 0.01</f>
        <v>0</v>
      </c>
      <c r="CD48" s="214">
        <f>INDEX($A$44:$H$56,MATCH($L48,$B$44:$B$56,0),MATCH($BQ$43,$A$44:$H$44,0))*고양시_Modal_split!P$7 * 0.01</f>
        <v>7.6125772339138686</v>
      </c>
      <c r="CE48" s="218">
        <f t="shared" si="24"/>
        <v>6812.5521027198574</v>
      </c>
      <c r="CF48" s="208">
        <f t="shared" si="7"/>
        <v>9252.9991428069479</v>
      </c>
      <c r="CG48" s="208">
        <f t="shared" si="8"/>
        <v>1998.1232776454556</v>
      </c>
      <c r="CH48" s="208">
        <f t="shared" si="9"/>
        <v>496.84179405063293</v>
      </c>
      <c r="CI48" s="208">
        <f t="shared" si="10"/>
        <v>2650.3205327918276</v>
      </c>
      <c r="CJ48" s="208">
        <f t="shared" si="11"/>
        <v>1.5491818570345157</v>
      </c>
      <c r="CK48" s="208">
        <f t="shared" si="12"/>
        <v>886.71422765260627</v>
      </c>
      <c r="CL48" s="208">
        <f t="shared" si="13"/>
        <v>1990.0009711959344</v>
      </c>
      <c r="CM48" s="208">
        <f t="shared" si="14"/>
        <v>5.0959487601141289</v>
      </c>
      <c r="CN48" s="208">
        <f t="shared" si="15"/>
        <v>1144.7538623022363</v>
      </c>
      <c r="CO48" s="208">
        <f t="shared" si="16"/>
        <v>163.17355552503733</v>
      </c>
      <c r="CP48" s="208">
        <f t="shared" si="17"/>
        <v>563.38514523684955</v>
      </c>
      <c r="CQ48" s="208">
        <f t="shared" si="18"/>
        <v>261.83392226247668</v>
      </c>
      <c r="CR48" s="219">
        <f t="shared" si="19"/>
        <v>26227.343664807009</v>
      </c>
      <c r="CS48" s="225">
        <f t="shared" si="25"/>
        <v>0</v>
      </c>
      <c r="CV48" s="265"/>
      <c r="CW48" s="266" t="s">
        <v>15</v>
      </c>
      <c r="CX48" s="267">
        <f>INDEX($M$43:$Z$56,MATCH($CW48,$L$43:$L$56,0),MATCH(CX$44,$M$44:$Z$44,0))/INDEX(고양시_재차인원!$D$4:$H$35,MATCH("고양시",고양시_재차인원!$B$4:$B$35,0),MATCH('A.일산테크노밸리(859991)_수정'!$CX$43,고양시_재차인원!$D$4:$H$4,0))</f>
        <v>1206.999588985884</v>
      </c>
      <c r="CY48" s="267">
        <f>INDEX($M$43:$Z$56,MATCH($CW48,$L$43:$L$56,0),MATCH(CY$44,$M$44:$Z$44,0))/INDEX(고양시_재차인원!$K$4:$O$20,MATCH("경기도",고양시_재차인원!$K$4:$K$20,0),MATCH('A.일산테크노밸리(859991)_수정'!CY$44,고양시_재차인원!$K$4:$O$4,0))</f>
        <v>9.9840903223123549E-3</v>
      </c>
      <c r="CZ48" s="267">
        <f>INDEX($M$43:$Z$56,MATCH($CW48,$L$43:$L$56,0),MATCH(CZ$44,$M$44:$Z$44,0))/INDEX(고양시_재차인원!$K$4:$O$20,MATCH("경기도",고양시_재차인원!$K$4:$K$20,0),MATCH('A.일산테크노밸리(859991)_수정'!CZ$44,고양시_재차인원!$K$4:$O$4,0))</f>
        <v>2.775577109602835</v>
      </c>
      <c r="DA48" s="267">
        <f>INDEX($M$43:$Z$56,MATCH($CW48,$L$43:$L$56,0),MATCH(DA$44,$M$44:$Z$44,0))/INDEX(고양시_재차인원!$K$4:$O$20,MATCH("경기도",고양시_재차인원!$K$4:$K$20,0),MATCH('A.일산테크노밸리(859991)_수정'!DA$44,고양시_재차인원!$K$4:$O$4,0))</f>
        <v>57.871648023047044</v>
      </c>
      <c r="DB48" s="268">
        <f>INDEX($AA$43:$AN$56,MATCH($CW48,$L$43:$L$56,0),MATCH(DB$44,$AA$44:$AN$44,0))/INDEX(고양시_재차인원!$D$4:$H$35,MATCH("고양시",고양시_재차인원!$B$4:$B$35,0),MATCH('A.일산테크노밸리(859991)_수정'!$DB$43,고양시_재차인원!$D$4:$H$4,0))</f>
        <v>5083.8615309428951</v>
      </c>
      <c r="DC48" s="267">
        <f>INDEX($AA$43:$AN$56,MATCH($CW48,$L$43:$L$56,0),MATCH(DC$44,$AA$44:$AN$44,0))/INDEX(고양시_재차인원!$K$4:$O$20,MATCH("경기도",고양시_재차인원!$K$4:$K$20,0),MATCH('A.일산테크노밸리(859991)_수정'!DC$44,고양시_재차인원!$K$4:$O$4,0))</f>
        <v>0</v>
      </c>
      <c r="DD48" s="267">
        <f>INDEX($AA$43:$AN$56,MATCH($CW48,$L$43:$L$56,0),MATCH(DD$44,$AA$44:$AN$44,0))/INDEX(고양시_재차인원!$K$4:$O$20,MATCH("경기도",고양시_재차인원!$K$4:$K$20,0),MATCH('A.일산테크노밸리(859991)_수정'!DD$44,고양시_재차인원!$K$4:$O$4,0))</f>
        <v>27.017890982473968</v>
      </c>
      <c r="DE48" s="267">
        <f>INDEX($AA$43:$AN$56,MATCH($CW48,$L$43:$L$56,0),MATCH(DE$44,$AA$44:$AN$44,0))/INDEX(고양시_재차인원!$K$4:$O$20,MATCH("경기도",고양시_재차인원!$K$4:$K$20,0),MATCH('A.일산테크노밸리(859991)_수정'!DE$44,고양시_재차인원!$K$4:$O$4,0))</f>
        <v>688.43760076641126</v>
      </c>
      <c r="DF48" s="268">
        <f>INDEX($AO$43:$BB$56,MATCH($CW48,$L$43:$L$56,0),MATCH(DF$44,$AO$44:$BB$44,0))/INDEX(고양시_재차인원!$D$4:$H$35,MATCH("고양시",고양시_재차인원!$B$4:$B$35,0),MATCH('A.일산테크노밸리(859991)_수정'!$DF$43,고양시_재차인원!$D$4:$H$4,0))</f>
        <v>558.4807113524547</v>
      </c>
      <c r="DG48" s="267">
        <f>INDEX($AO$43:$BB$56,MATCH($CW48,$L$43:$L$56,0),MATCH(DG$44,$AO$44:$BB$44,0))/INDEX(고양시_재차인원!$K$4:$O$20,MATCH("경기도",고양시_재차인원!$K$4:$K$20,0),MATCH('A.일산테크노밸리(859991)_수정'!DG$44,고양시_재차인원!$K$4:$O$4,0))</f>
        <v>2.4089203749308619E-2</v>
      </c>
      <c r="DH48" s="267">
        <f>INDEX($AO$43:$BB$56,MATCH($CW48,$L$43:$L$56,0),MATCH(DH$44,$AO$44:$BB$44,0))/INDEX(고양시_재차인원!$K$4:$O$20,MATCH("경기도",고양시_재차인원!$K$4:$K$20,0),MATCH('A.일산테크노밸리(859991)_수정'!DH$44,고양시_재차인원!$K$4:$O$4,0))</f>
        <v>0.95324420550835531</v>
      </c>
      <c r="DI48" s="267">
        <f>INDEX($AO$43:$BB$56,MATCH($CW48,$L$43:$L$56,0),MATCH(DI$44,$AO$44:$BB$44,0))/INDEX(고양시_재차인원!$K$4:$O$20,MATCH("경기도",고양시_재차인원!$K$4:$K$20,0),MATCH('A.일산테크노밸리(859991)_수정'!DI$44,고양시_재차인원!$K$4:$O$4,0))</f>
        <v>16.842827130034454</v>
      </c>
      <c r="DJ48" s="268">
        <f>INDEX($BC$43:$BP$56,MATCH($CW48,$L$43:$L$56,0),MATCH(DJ$44,$BC$44:$BP$44,0))/INDEX(고양시_재차인원!$D$4:$H$35,MATCH("고양시",고양시_재차인원!$B$4:$B$35,0),MATCH('A.일산테크노밸리(859991)_수정'!$DJ$43,고양시_재차인원!$D$4:$H$4,0))</f>
        <v>1.6359797251048689</v>
      </c>
      <c r="DK48" s="267">
        <f>INDEX($BC$43:$BP$56,MATCH($CW48,$L$43:$L$56,0),MATCH(DK$44,$BC$44:$BP$44,0))/INDEX(고양시_재차인원!$K$4:$O$20,MATCH("경기도",고양시_재차인원!$K$4:$K$20,0),MATCH('A.일산테크노밸리(859991)_수정'!DK$44,고양시_재차인원!$K$4:$O$4,0))</f>
        <v>4.9554933427149285E-3</v>
      </c>
      <c r="DL48" s="267">
        <f>INDEX($BC$43:$BP$56,MATCH($CW48,$L$43:$L$56,0),MATCH(DL$44,$BC$44:$BP$44,0))/INDEX(고양시_재차인원!$K$4:$O$20,MATCH("경기도",고양시_재차인원!$K$4:$K$20,0),MATCH('A.일산테크노밸리(859991)_수정'!DL$44,고양시_재차인원!$K$4:$O$4,0))</f>
        <v>3.3036622284766189E-3</v>
      </c>
      <c r="DM48" s="267">
        <f>INDEX($BC$43:$BP$56,MATCH($CW48,$L$43:$L$56,0),MATCH(DM$44,$BC$44:$BP$44,0))/INDEX(고양시_재차인원!$K$4:$O$20,MATCH("경기도",고양시_재차인원!$K$4:$K$20,0),MATCH('A.일산테크노밸리(859991)_수정'!DM$44,고양시_재차인원!$K$4:$O$4,0))</f>
        <v>1.3613079288881322E-2</v>
      </c>
      <c r="DN48" s="268">
        <f>INDEX($BQ$43:$CD$56,MATCH($CW48,$L$43:$L$56,0),MATCH(DN$44,$BQ$44:$CD$44,0))/INDEX(고양시_재차인원!$D$4:$H$35,MATCH("고양시",고양시_재차인원!$B$4:$B$35,0),MATCH('A.일산테크노밸리(859991)_수정'!$DN$43,고양시_재차인원!$D$4:$H$4,0))</f>
        <v>3.7023708959860469</v>
      </c>
      <c r="DO48" s="267">
        <f>INDEX($BQ$43:$CD$56,MATCH($CW48,$L$43:$L$56,0),MATCH(DO$44,$BQ$44:$CD$44,0))/INDEX(고양시_재차인원!$K$4:$O$20,MATCH("경기도",고양시_재차인원!$K$4:$K$20,0),MATCH('A.일산테크노밸리(859991)_수정'!DO$44,고양시_재차인원!$K$4:$O$4,0))</f>
        <v>1.4780933219026928E-2</v>
      </c>
      <c r="DP48" s="267">
        <f>INDEX($BQ$43:$CD$56,MATCH($CW48,$L$43:$L$56,0),MATCH(DP$44,$BQ$44:$CD$44,0))/INDEX(고양시_재차인원!$K$4:$O$20,MATCH("경기도",고양시_재차인원!$K$4:$K$20,0),MATCH('A.일산테크노밸리(859991)_수정'!DP$44,고양시_재차인원!$K$4:$O$4,0))</f>
        <v>4.9366730447089946E-2</v>
      </c>
      <c r="DQ48" s="267">
        <f>INDEX($BQ$43:$CD$56,MATCH($CW48,$L$43:$L$56,0),MATCH(DQ$44,$BQ$44:$CD$44,0))/INDEX(고양시_재차인원!$K$4:$O$20,MATCH("경기도",고양시_재차인원!$K$4:$K$20,0),MATCH('A.일산테크노밸리(859991)_수정'!DQ$44,고양시_재차인원!$K$4:$O$4,0))</f>
        <v>3.5525360424931381E-3</v>
      </c>
      <c r="DR48" s="269">
        <f t="shared" si="26"/>
        <v>6854.6801819023249</v>
      </c>
      <c r="DS48" s="270">
        <f t="shared" si="20"/>
        <v>5.380972063336284E-2</v>
      </c>
      <c r="DT48" s="270">
        <f t="shared" si="21"/>
        <v>30.799382690260725</v>
      </c>
      <c r="DU48" s="270">
        <f t="shared" si="22"/>
        <v>763.16924153482421</v>
      </c>
      <c r="DW48" s="278"/>
      <c r="DX48" s="278" t="s">
        <v>594</v>
      </c>
      <c r="DY48" s="281">
        <f t="shared" si="27"/>
        <v>7617.8494234371492</v>
      </c>
      <c r="DZ48" s="281">
        <f t="shared" si="28"/>
        <v>30.853192410894088</v>
      </c>
      <c r="EC48" s="412" t="s">
        <v>14</v>
      </c>
      <c r="ED48" s="412" t="s">
        <v>569</v>
      </c>
      <c r="EE48" s="412">
        <v>5454.9395000000004</v>
      </c>
      <c r="EF48" s="412">
        <v>0.43129277327301779</v>
      </c>
      <c r="EG48" s="413">
        <v>859004</v>
      </c>
      <c r="EH48" s="414">
        <f t="shared" si="29"/>
        <v>113.11955027516814</v>
      </c>
      <c r="EI48" s="415">
        <f t="shared" si="30"/>
        <v>0.45814757631410985</v>
      </c>
      <c r="EJ48" s="402">
        <v>0</v>
      </c>
      <c r="EM48" s="278" t="s">
        <v>14</v>
      </c>
      <c r="EN48" s="278" t="s">
        <v>569</v>
      </c>
      <c r="EO48" s="278">
        <v>5454.9395000000004</v>
      </c>
      <c r="EP48" s="278">
        <v>0.43129277327301779</v>
      </c>
      <c r="EQ48" s="289">
        <v>859004</v>
      </c>
      <c r="ER48" s="290">
        <f t="shared" si="31"/>
        <v>113.11955027516814</v>
      </c>
      <c r="ES48" s="291">
        <f t="shared" si="23"/>
        <v>0.45814757631410985</v>
      </c>
      <c r="ET48" s="402">
        <v>0</v>
      </c>
      <c r="EV48" s="34"/>
      <c r="EW48" s="34"/>
      <c r="EX48" s="34"/>
      <c r="EY48" s="34"/>
      <c r="EZ48" s="378"/>
      <c r="FA48" s="401"/>
      <c r="FB48" s="402"/>
      <c r="FC48" s="402"/>
    </row>
    <row r="49" spans="1:159" ht="27" customHeight="1">
      <c r="A49" s="205"/>
      <c r="B49" s="205" t="s">
        <v>16</v>
      </c>
      <c r="C49" s="400">
        <f>'A.일산테크노밸리(859991)_수정'!$P32*KTDB_TripDistribution_2045!L$12 * (1 + KTDB_발생량도착량_증가율!$D$7*5) * (1 + KTDB_발생량도착량_증가율!$E$7*5) * (1 + KTDB_발생량도착량_증가율!$F$7*5) * (1 + KTDB_발생량도착량_증가율!$G$7*5)</f>
        <v>311.55153012471055</v>
      </c>
      <c r="D49" s="400">
        <f>'A.일산테크노밸리(859991)_수정'!$P32*KTDB_TripDistribution_2045!M$12 * (1 + KTDB_발생량도착량_증가율!$D$7*5) * (1 + KTDB_발생량도착량_증가율!$E$7*5) * (1 + KTDB_발생량도착량_증가율!$F$7*5) * (1 + KTDB_발생량도착량_증가율!$G$7*5)</f>
        <v>2422.6662449252021</v>
      </c>
      <c r="E49" s="400">
        <f>'A.일산테크노밸리(859991)_수정'!$P32*KTDB_TripDistribution_2045!N$12 * (1 + KTDB_발생량도착량_증가율!$D$7*5) * (1 + KTDB_발생량도착량_증가율!$E$7*5) * (1 + KTDB_발생량도착량_증가율!$F$7*5) * (1 + KTDB_발생량도착량_증가율!$G$7*5)</f>
        <v>107.38553675041587</v>
      </c>
      <c r="F49" s="400">
        <f>'A.일산테크노밸리(859991)_수정'!$P32*KTDB_TripDistribution_2045!O$12 * (1 + KTDB_발생량도착량_증가율!$D$7*5) * (1 + KTDB_발생량도착량_증가율!$E$7*5) * (1 + KTDB_발생량도착량_증가율!$F$7*5) * (1 + KTDB_발생량도착량_증가율!$G$7*5)</f>
        <v>0.29121501491638263</v>
      </c>
      <c r="G49" s="400">
        <f>'A.일산테크노밸리(859991)_수정'!$P32*KTDB_TripDistribution_2045!P$12 * (1 + KTDB_발생량도착량_증가율!$D$7*5) * (1 + KTDB_발생량도착량_증가율!$E$7*5) * (1 + KTDB_발생량도착량_증가율!$F$7*5) * (1 + KTDB_발생량도착량_증가율!$G$7*5)</f>
        <v>0.82510920892974804</v>
      </c>
      <c r="H49" s="400">
        <f>'A.일산테크노밸리(859991)_수정'!$P32*KTDB_TripDistribution_2045!Q$12 * (1 + KTDB_발생량도착량_증가율!$D$7*5) * (1 + KTDB_발생량도착량_증가율!$E$7*5) * (1 + KTDB_발생량도착량_증가율!$F$7*5) * (1 + KTDB_발생량도착량_증가율!$G$7*5)</f>
        <v>2842.7196360241746</v>
      </c>
      <c r="J49" s="230">
        <f t="shared" si="6"/>
        <v>2842.7196360241746</v>
      </c>
      <c r="K49" s="206"/>
      <c r="L49" s="209" t="s">
        <v>16</v>
      </c>
      <c r="M49" s="213">
        <f>INDEX($A$44:$H$56,MATCH($L49,$B$44:$B$56,0),MATCH($M$43,$A$44:$H$44,0))*고양시_Modal_split!C$3 * 0.01</f>
        <v>0.87234428434918942</v>
      </c>
      <c r="N49" s="207">
        <f>INDEX($A$44:$H$56,MATCH($L49,$B$44:$B$56,0),MATCH($M$43,$A$44:$H$44,0))*고양시_Modal_split!D$3 * 0.01</f>
        <v>146.52268461765138</v>
      </c>
      <c r="O49" s="207">
        <f>INDEX($A$44:$H$56,MATCH($L49,$B$44:$B$56,0),MATCH($M$43,$A$44:$H$44,0))*고양시_Modal_split!E$3 * 0.01</f>
        <v>17.72728206409603</v>
      </c>
      <c r="P49" s="207">
        <f>INDEX($A$44:$H$56,MATCH($L49,$B$44:$B$56,0),MATCH($M$43,$A$44:$H$44,0))*고양시_Modal_split!F$3 * 0.01</f>
        <v>28.569275312435959</v>
      </c>
      <c r="Q49" s="207">
        <f>INDEX($A$44:$H$56,MATCH($L49,$B$44:$B$56,0),MATCH($M$43,$A$44:$H$44,0))*고양시_Modal_split!G$3 * 0.01</f>
        <v>2.8662740771473372</v>
      </c>
      <c r="R49" s="207">
        <f>INDEX($A$44:$H$56,MATCH($L49,$B$44:$B$56,0),MATCH($M$43,$A$44:$H$44,0))*고양시_Modal_split!H$3 * 0.01</f>
        <v>3.1155153012471057E-2</v>
      </c>
      <c r="S49" s="207">
        <f>INDEX($A$44:$H$56,MATCH($L49,$B$44:$B$56,0),MATCH($M$43,$A$44:$H$44,0))*고양시_Modal_split!I$3 * 0.01</f>
        <v>8.661132537466953</v>
      </c>
      <c r="T49" s="207">
        <f>INDEX($A$44:$H$56,MATCH($L49,$B$44:$B$56,0),MATCH($M$43,$A$44:$H$44,0))*고양시_Modal_split!J$3 * 0.01</f>
        <v>94.83628576996189</v>
      </c>
      <c r="U49" s="207">
        <f>INDEX($A$44:$H$56,MATCH($L49,$B$44:$B$56,0),MATCH($M$43,$A$44:$H$44,0))*고양시_Modal_split!K$3 * 0.01</f>
        <v>0.46732729518706584</v>
      </c>
      <c r="V49" s="207">
        <f>INDEX($A$44:$H$56,MATCH($L49,$B$44:$B$56,0),MATCH($M$43,$A$44:$H$44,0))*고양시_Modal_split!L$3 * 0.01</f>
        <v>9.4088562097662596</v>
      </c>
      <c r="W49" s="207">
        <f>INDEX($A$44:$H$56,MATCH($L49,$B$44:$B$56,0),MATCH($M$43,$A$44:$H$44,0))*고양시_Modal_split!M$3 * 0.01</f>
        <v>0.71656851928683429</v>
      </c>
      <c r="X49" s="207">
        <f>INDEX($A$44:$H$56,MATCH($L49,$B$44:$B$56,0),MATCH($M$43,$A$44:$H$44,0))*고양시_Modal_split!N$3 * 0.01</f>
        <v>0.3115515301247106</v>
      </c>
      <c r="Y49" s="207">
        <f>INDEX($A$44:$H$56,MATCH($L49,$B$44:$B$56,0),MATCH($M$43,$A$44:$H$44,0))*고양시_Modal_split!O$3 * 0.01</f>
        <v>0.56079275422447905</v>
      </c>
      <c r="Z49" s="214">
        <f>INDEX($A$44:$H$56,MATCH($L49,$B$44:$B$56,0),MATCH($M$43,$A$44:$H$44,0))*고양시_Modal_split!P$3 * 0.01</f>
        <v>311.55153012471055</v>
      </c>
      <c r="AA49" s="213">
        <f>INDEX($A$44:$H$56,MATCH($L49,$B$44:$B$56,0),MATCH($AA$43,$A$44:$H$44,0))*고양시_Modal_split!C$4 * 0.01</f>
        <v>737.45960495523161</v>
      </c>
      <c r="AB49" s="207">
        <f>INDEX($A$44:$H$56,MATCH($L49,$B$44:$B$56,0),MATCH($AA$43,$A$44:$H$44,0))*고양시_Modal_split!D$4 * 0.01</f>
        <v>776.94906474751235</v>
      </c>
      <c r="AC49" s="207">
        <f>INDEX($A$44:$H$56,MATCH($L49,$B$44:$B$56,0),MATCH($AA$43,$A$44:$H$44,0))*고양시_Modal_split!E$4 * 0.01</f>
        <v>188.24116723068823</v>
      </c>
      <c r="AD49" s="207">
        <f>INDEX($A$44:$H$56,MATCH($L49,$B$44:$B$56,0),MATCH($AA$43,$A$44:$H$44,0))*고양시_Modal_split!F$4 * 0.01</f>
        <v>23.01532932678942</v>
      </c>
      <c r="AE49" s="207">
        <f>INDEX($A$44:$H$56,MATCH($L49,$B$44:$B$56,0),MATCH($AA$43,$A$44:$H$44,0))*고양시_Modal_split!G$4 * 0.01</f>
        <v>283.69421728074116</v>
      </c>
      <c r="AF49" s="207">
        <f>INDEX($A$44:$H$56,MATCH($L49,$B$44:$B$56,0),MATCH($AA$43,$A$44:$H$44,0))*고양시_Modal_split!H$4 * 0.01</f>
        <v>0</v>
      </c>
      <c r="AG49" s="207">
        <f>INDEX($A$44:$H$56,MATCH($L49,$B$44:$B$56,0),MATCH($AA$43,$A$44:$H$44,0))*고양시_Modal_split!I$4 * 0.01</f>
        <v>84.308785323397032</v>
      </c>
      <c r="AH49" s="207">
        <f>INDEX($A$44:$H$56,MATCH($L49,$B$44:$B$56,0),MATCH($AA$43,$A$44:$H$44,0))*고양시_Modal_split!J$4 * 0.01</f>
        <v>114.10758013597703</v>
      </c>
      <c r="AI49" s="207">
        <f>INDEX($A$44:$H$56,MATCH($L49,$B$44:$B$56,0),MATCH($AA$43,$A$44:$H$44,0))*고양시_Modal_split!K$4 * 0.01</f>
        <v>0</v>
      </c>
      <c r="AJ49" s="207">
        <f>INDEX($A$44:$H$56,MATCH($L49,$B$44:$B$56,0),MATCH($AA$43,$A$44:$H$44,0))*고양시_Modal_split!L$4 * 0.01</f>
        <v>111.92718051554434</v>
      </c>
      <c r="AK49" s="207">
        <f>INDEX($A$44:$H$56,MATCH($L49,$B$44:$B$56,0),MATCH($AA$43,$A$44:$H$44,0))*고양시_Modal_split!M$4 * 0.01</f>
        <v>16.231863840998855</v>
      </c>
      <c r="AL49" s="207">
        <f>INDEX($A$44:$H$56,MATCH($L49,$B$44:$B$56,0),MATCH($AA$43,$A$44:$H$44,0))*고양시_Modal_split!N$4 * 0.01</f>
        <v>60.566656123130052</v>
      </c>
      <c r="AM49" s="207">
        <f>INDEX($A$44:$H$56,MATCH($L49,$B$44:$B$56,0),MATCH($AA$43,$A$44:$H$44,0))*고양시_Modal_split!O$4 * 0.01</f>
        <v>26.164795445192187</v>
      </c>
      <c r="AN49" s="214">
        <f>INDEX($A$44:$H$56,MATCH($L49,$B$44:$B$56,0),MATCH($AA$43,$A$44:$H$44,0))*고양시_Modal_split!P$4 * 0.01</f>
        <v>2422.6662449252021</v>
      </c>
      <c r="AO49" s="213">
        <f>INDEX($A$44:$H$56,MATCH($L49,$B$44:$B$56,0),MATCH($AO$43,$A$44:$H$44,0))*고양시_Modal_split!C$5 * 0.01</f>
        <v>6.4431322050249526E-2</v>
      </c>
      <c r="AP49" s="207">
        <f>INDEX($A$44:$H$56,MATCH($L49,$B$44:$B$56,0),MATCH($AO$43,$A$44:$H$44,0))*고양시_Modal_split!D$5 * 0.01</f>
        <v>78.692121330704751</v>
      </c>
      <c r="AQ49" s="207">
        <f>INDEX($A$44:$H$56,MATCH($L49,$B$44:$B$56,0),MATCH($AO$43,$A$44:$H$44,0))*고양시_Modal_split!E$5 * 0.01</f>
        <v>10.577475369915962</v>
      </c>
      <c r="AR49" s="207">
        <f>INDEX($A$44:$H$56,MATCH($L49,$B$44:$B$56,0),MATCH($AO$43,$A$44:$H$44,0))*고양시_Modal_split!F$5 * 0.01</f>
        <v>2.2550962717587333</v>
      </c>
      <c r="AS49" s="207">
        <f>INDEX($A$44:$H$56,MATCH($L49,$B$44:$B$56,0),MATCH($AO$43,$A$44:$H$44,0))*고양시_Modal_split!G$5 * 0.01</f>
        <v>0.69800598887770327</v>
      </c>
      <c r="AT49" s="207">
        <f>INDEX($A$44:$H$56,MATCH($L49,$B$44:$B$56,0),MATCH($AO$43,$A$44:$H$44,0))*고양시_Modal_split!H$5 * 0.01</f>
        <v>7.5169875725291102E-2</v>
      </c>
      <c r="AU49" s="207">
        <f>INDEX($A$44:$H$56,MATCH($L49,$B$44:$B$56,0),MATCH($AO$43,$A$44:$H$44,0))*고양시_Modal_split!I$5 * 0.01</f>
        <v>2.9745793679865193</v>
      </c>
      <c r="AV49" s="207">
        <f>INDEX($A$44:$H$56,MATCH($L49,$B$44:$B$56,0),MATCH($AO$43,$A$44:$H$44,0))*고양시_Modal_split!J$5 * 0.01</f>
        <v>6.7330731542510751</v>
      </c>
      <c r="AW49" s="207">
        <f>INDEX($A$44:$H$56,MATCH($L49,$B$44:$B$56,0),MATCH($AO$43,$A$44:$H$44,0))*고양시_Modal_split!K$5 * 0.01</f>
        <v>2.1477107350083173E-2</v>
      </c>
      <c r="AX49" s="207">
        <f>INDEX($A$44:$H$56,MATCH($L49,$B$44:$B$56,0),MATCH($AO$43,$A$44:$H$44,0))*고양시_Modal_split!L$5 * 0.01</f>
        <v>2.7383311871356044</v>
      </c>
      <c r="AY49" s="207">
        <f>INDEX($A$44:$H$56,MATCH($L49,$B$44:$B$56,0),MATCH($AO$43,$A$44:$H$44,0))*고양시_Modal_split!M$5 * 0.01</f>
        <v>0.71948309622778639</v>
      </c>
      <c r="AZ49" s="207">
        <f>INDEX($A$44:$H$56,MATCH($L49,$B$44:$B$56,0),MATCH($AO$43,$A$44:$H$44,0))*고양시_Modal_split!N$5 * 0.01</f>
        <v>0.18255541247570697</v>
      </c>
      <c r="BA49" s="207">
        <f>INDEX($A$44:$H$56,MATCH($L49,$B$44:$B$56,0),MATCH($AO$43,$A$44:$H$44,0))*고양시_Modal_split!O$5 * 0.01</f>
        <v>1.6537372659564045</v>
      </c>
      <c r="BB49" s="214">
        <f>INDEX($A$44:$H$56,MATCH($L49,$B$44:$B$56,0),MATCH($AO$43,$A$44:$H$44,0))*고양시_Modal_split!P$5 * 0.01</f>
        <v>107.38553675041585</v>
      </c>
      <c r="BC49" s="213">
        <f>INDEX($A$44:$H$56,MATCH($L49,$B$44:$B$56,0),MATCH($BC$43,$A$44:$H$44,0))*고양시_Modal_split!C$6 * 0.01</f>
        <v>0</v>
      </c>
      <c r="BD49" s="207">
        <f>INDEX($A$44:$H$56,MATCH($L49,$B$44:$B$56,0),MATCH($BC$43,$A$44:$H$44,0))*고양시_Modal_split!D$6 * 0.01</f>
        <v>0.24115515385225642</v>
      </c>
      <c r="BE49" s="207">
        <f>INDEX($A$44:$H$56,MATCH($L49,$B$44:$B$56,0),MATCH($BC$43,$A$44:$H$44,0))*고양시_Modal_split!E$6 * 0.01</f>
        <v>1.2522245641404454E-3</v>
      </c>
      <c r="BF49" s="207">
        <f>INDEX($A$44:$H$56,MATCH($L49,$B$44:$B$56,0),MATCH($BC$43,$A$44:$H$44,0))*고양시_Modal_split!F$6 * 0.01</f>
        <v>3.5528231819798679E-3</v>
      </c>
      <c r="BG49" s="207">
        <f>INDEX($A$44:$H$56,MATCH($L49,$B$44:$B$56,0),MATCH($BC$43,$A$44:$H$44,0))*고양시_Modal_split!G$6 * 0.01</f>
        <v>0</v>
      </c>
      <c r="BH49" s="207">
        <f>INDEX($A$44:$H$56,MATCH($L49,$B$44:$B$56,0),MATCH($BC$43,$A$44:$H$44,0))*고양시_Modal_split!H$6 * 0.01</f>
        <v>1.5463517292059919E-2</v>
      </c>
      <c r="BI49" s="207">
        <f>INDEX($A$44:$H$56,MATCH($L49,$B$44:$B$56,0),MATCH($BC$43,$A$44:$H$44,0))*고양시_Modal_split!I$6 * 0.01</f>
        <v>1.0309011528039945E-2</v>
      </c>
      <c r="BJ49" s="207">
        <f>INDEX($A$44:$H$56,MATCH($L49,$B$44:$B$56,0),MATCH($BC$43,$A$44:$H$44,0))*고양시_Modal_split!J$6 * 0.01</f>
        <v>1.4386021736869301E-2</v>
      </c>
      <c r="BK49" s="207">
        <f>INDEX($A$44:$H$56,MATCH($L49,$B$44:$B$56,0),MATCH($BC$43,$A$44:$H$44,0))*고양시_Modal_split!K$6 * 0.01</f>
        <v>0</v>
      </c>
      <c r="BL49" s="207">
        <f>INDEX($A$44:$H$56,MATCH($L49,$B$44:$B$56,0),MATCH($BC$43,$A$44:$H$44,0))*고양시_Modal_split!L$6 * 0.01</f>
        <v>2.213234113364508E-3</v>
      </c>
      <c r="BM49" s="207">
        <f>INDEX($A$44:$H$56,MATCH($L49,$B$44:$B$56,0),MATCH($BC$43,$A$44:$H$44,0))*고양시_Modal_split!M$6 * 0.01</f>
        <v>2.6500566357390821E-3</v>
      </c>
      <c r="BN49" s="207">
        <f>INDEX($A$44:$H$56,MATCH($L49,$B$44:$B$56,0),MATCH($BC$43,$A$44:$H$44,0))*고양시_Modal_split!N$6 * 0.01</f>
        <v>0</v>
      </c>
      <c r="BO49" s="207">
        <f>INDEX($A$44:$H$56,MATCH($L49,$B$44:$B$56,0),MATCH($BC$43,$A$44:$H$44,0))*고양시_Modal_split!O$6 * 0.01</f>
        <v>2.3297201193310611E-4</v>
      </c>
      <c r="BP49" s="214">
        <f>INDEX($A$44:$H$56,MATCH($L49,$B$44:$B$56,0),MATCH($BC$43,$A$44:$H$44,0))*고양시_Modal_split!P$6 * 0.01</f>
        <v>0.29121501491638263</v>
      </c>
      <c r="BQ49" s="213">
        <f>INDEX($A$44:$H$56,MATCH($L49,$B$44:$B$56,0),MATCH($BQ$43,$A$44:$H$44,0))*고양시_Modal_split!C$7 * 0.01</f>
        <v>0</v>
      </c>
      <c r="BR49" s="207">
        <f>INDEX($A$44:$H$56,MATCH($L49,$B$44:$B$56,0),MATCH($BQ$43,$A$44:$H$44,0))*고양시_Modal_split!D$7 * 0.01</f>
        <v>0.50562692323214964</v>
      </c>
      <c r="BS49" s="207">
        <f>INDEX($A$44:$H$56,MATCH($L49,$B$44:$B$56,0),MATCH($BQ$43,$A$44:$H$44,0))*고양시_Modal_split!E$7 * 0.01</f>
        <v>2.4670765346999468E-2</v>
      </c>
      <c r="BT49" s="207">
        <f>INDEX($A$44:$H$56,MATCH($L49,$B$44:$B$56,0),MATCH($BQ$43,$A$44:$H$44,0))*고양시_Modal_split!F$7 * 0.01</f>
        <v>8.2510920892974807E-3</v>
      </c>
      <c r="BU49" s="207">
        <f>INDEX($A$44:$H$56,MATCH($L49,$B$44:$B$56,0),MATCH($BQ$43,$A$44:$H$44,0))*고양시_Modal_split!G$7 * 0.01</f>
        <v>3.4654586775049417E-3</v>
      </c>
      <c r="BV49" s="207">
        <f>INDEX($A$44:$H$56,MATCH($L49,$B$44:$B$56,0),MATCH($BQ$43,$A$44:$H$44,0))*고양시_Modal_split!H$7 * 0.01</f>
        <v>4.6123604779172912E-2</v>
      </c>
      <c r="BW49" s="207">
        <f>INDEX($A$44:$H$56,MATCH($L49,$B$44:$B$56,0),MATCH($BQ$43,$A$44:$H$44,0))*고양시_Modal_split!I$7 * 0.01</f>
        <v>0.15404788930718397</v>
      </c>
      <c r="BX49" s="207">
        <f>INDEX($A$44:$H$56,MATCH($L49,$B$44:$B$56,0),MATCH($BQ$43,$A$44:$H$44,0))*고양시_Modal_split!J$7 * 0.01</f>
        <v>1.6502184178594963E-4</v>
      </c>
      <c r="BY49" s="207">
        <f>INDEX($A$44:$H$56,MATCH($L49,$B$44:$B$56,0),MATCH($BQ$43,$A$44:$H$44,0))*고양시_Modal_split!K$7 * 0.01</f>
        <v>6.35334090875906E-2</v>
      </c>
      <c r="BZ49" s="207">
        <f>INDEX($A$44:$H$56,MATCH($L49,$B$44:$B$56,0),MATCH($BQ$43,$A$44:$H$44,0))*고양시_Modal_split!L$7 * 0.01</f>
        <v>5.7757644625082362E-4</v>
      </c>
      <c r="CA49" s="207">
        <f>INDEX($A$44:$H$56,MATCH($L49,$B$44:$B$56,0),MATCH($BQ$43,$A$44:$H$44,0))*고양시_Modal_split!M$7 * 0.01</f>
        <v>1.5429542206986288E-2</v>
      </c>
      <c r="CB49" s="207">
        <f>INDEX($A$44:$H$56,MATCH($L49,$B$44:$B$56,0),MATCH($BQ$43,$A$44:$H$44,0))*고양시_Modal_split!N$7 * 0.01</f>
        <v>3.217925914826017E-3</v>
      </c>
      <c r="CC49" s="207">
        <f>INDEX($A$44:$H$56,MATCH($L49,$B$44:$B$56,0),MATCH($BQ$43,$A$44:$H$44,0))*고양시_Modal_split!O$7 * 0.01</f>
        <v>0</v>
      </c>
      <c r="CD49" s="214">
        <f>INDEX($A$44:$H$56,MATCH($L49,$B$44:$B$56,0),MATCH($BQ$43,$A$44:$H$44,0))*고양시_Modal_split!P$7 * 0.01</f>
        <v>0.82510920892974815</v>
      </c>
      <c r="CE49" s="218">
        <f t="shared" si="24"/>
        <v>738.39638056163108</v>
      </c>
      <c r="CF49" s="208">
        <f t="shared" si="7"/>
        <v>1002.9106527729529</v>
      </c>
      <c r="CG49" s="208">
        <f t="shared" si="8"/>
        <v>216.57184765461133</v>
      </c>
      <c r="CH49" s="208">
        <f t="shared" si="9"/>
        <v>53.851504826255379</v>
      </c>
      <c r="CI49" s="208">
        <f t="shared" si="10"/>
        <v>287.26196280544372</v>
      </c>
      <c r="CJ49" s="208">
        <f t="shared" si="11"/>
        <v>0.16791215080899499</v>
      </c>
      <c r="CK49" s="208">
        <f t="shared" si="12"/>
        <v>96.108854129685724</v>
      </c>
      <c r="CL49" s="208">
        <f t="shared" si="13"/>
        <v>215.69149010376867</v>
      </c>
      <c r="CM49" s="208">
        <f t="shared" si="14"/>
        <v>0.55233781162473961</v>
      </c>
      <c r="CN49" s="208">
        <f t="shared" si="15"/>
        <v>124.07715872300581</v>
      </c>
      <c r="CO49" s="208">
        <f t="shared" si="16"/>
        <v>17.685995055356205</v>
      </c>
      <c r="CP49" s="208">
        <f t="shared" si="17"/>
        <v>61.063980991645295</v>
      </c>
      <c r="CQ49" s="208">
        <f t="shared" si="18"/>
        <v>28.379558437385004</v>
      </c>
      <c r="CR49" s="219">
        <f t="shared" si="19"/>
        <v>2842.7196360241746</v>
      </c>
      <c r="CS49" s="225">
        <f t="shared" si="25"/>
        <v>0</v>
      </c>
      <c r="CV49" s="265"/>
      <c r="CW49" s="266" t="s">
        <v>16</v>
      </c>
      <c r="CX49" s="267">
        <f>INDEX($M$43:$Z$56,MATCH($CW49,$L$43:$L$56,0),MATCH(CX$44,$M$44:$Z$44,0))/INDEX(고양시_재차인원!$D$4:$H$35,MATCH("고양시",고양시_재차인원!$B$4:$B$35,0),MATCH('A.일산테크노밸리(859991)_수정'!$CX$43,고양시_재차인원!$D$4:$H$4,0))</f>
        <v>130.82382555147444</v>
      </c>
      <c r="CY49" s="267">
        <f>INDEX($M$43:$Z$56,MATCH($CW49,$L$43:$L$56,0),MATCH(CY$44,$M$44:$Z$44,0))/INDEX(고양시_재차인원!$K$4:$O$20,MATCH("경기도",고양시_재차인원!$K$4:$K$20,0),MATCH('A.일산테크노밸리(859991)_수정'!CY$44,고양시_재차인원!$K$4:$O$4,0))</f>
        <v>1.0821518934515824E-3</v>
      </c>
      <c r="CZ49" s="267">
        <f>INDEX($M$43:$Z$56,MATCH($CW49,$L$43:$L$56,0),MATCH(CZ$44,$M$44:$Z$44,0))/INDEX(고양시_재차인원!$K$4:$O$20,MATCH("경기도",고양시_재차인원!$K$4:$K$20,0),MATCH('A.일산테크노밸리(859991)_수정'!CZ$44,고양시_재차인원!$K$4:$O$4,0))</f>
        <v>0.30083822637953989</v>
      </c>
      <c r="DA49" s="267">
        <f>INDEX($M$43:$Z$56,MATCH($CW49,$L$43:$L$56,0),MATCH(DA$44,$M$44:$Z$44,0))/INDEX(고양시_재차인원!$K$4:$O$20,MATCH("경기도",고양시_재차인원!$K$4:$K$20,0),MATCH('A.일산테크노밸리(859991)_수정'!DA$44,고양시_재차인원!$K$4:$O$4,0))</f>
        <v>6.2725708065108394</v>
      </c>
      <c r="DB49" s="268">
        <f>INDEX($AA$43:$AN$56,MATCH($CW49,$L$43:$L$56,0),MATCH(DB$44,$AA$44:$AN$44,0))/INDEX(고양시_재차인원!$D$4:$H$35,MATCH("고양시",고양시_재차인원!$B$4:$B$35,0),MATCH('A.일산테크노밸리(859991)_수정'!$DB$43,고양시_재차인원!$D$4:$H$4,0))</f>
        <v>551.0277054946896</v>
      </c>
      <c r="DC49" s="267">
        <f>INDEX($AA$43:$AN$56,MATCH($CW49,$L$43:$L$56,0),MATCH(DC$44,$AA$44:$AN$44,0))/INDEX(고양시_재차인원!$K$4:$O$20,MATCH("경기도",고양시_재차인원!$K$4:$K$20,0),MATCH('A.일산테크노밸리(859991)_수정'!DC$44,고양시_재차인원!$K$4:$O$4,0))</f>
        <v>0</v>
      </c>
      <c r="DD49" s="267">
        <f>INDEX($AA$43:$AN$56,MATCH($CW49,$L$43:$L$56,0),MATCH(DD$44,$AA$44:$AN$44,0))/INDEX(고양시_재차인원!$K$4:$O$20,MATCH("경기도",고양시_재차인원!$K$4:$K$20,0),MATCH('A.일산테크노밸리(859991)_수정'!DD$44,고양시_재차인원!$K$4:$O$4,0))</f>
        <v>2.9284051866410921</v>
      </c>
      <c r="DE49" s="267">
        <f>INDEX($AA$43:$AN$56,MATCH($CW49,$L$43:$L$56,0),MATCH(DE$44,$AA$44:$AN$44,0))/INDEX(고양시_재차인원!$K$4:$O$20,MATCH("경기도",고양시_재차인원!$K$4:$K$20,0),MATCH('A.일산테크노밸리(859991)_수정'!DE$44,고양시_재차인원!$K$4:$O$4,0))</f>
        <v>74.618120343696219</v>
      </c>
      <c r="DF49" s="268">
        <f>INDEX($AO$43:$BB$56,MATCH($CW49,$L$43:$L$56,0),MATCH(DF$44,$AO$44:$BB$44,0))/INDEX(고양시_재차인원!$D$4:$H$35,MATCH("고양시",고양시_재차인원!$B$4:$B$35,0),MATCH('A.일산테크노밸리(859991)_수정'!$DF$43,고양시_재차인원!$D$4:$H$4,0))</f>
        <v>60.532401023619038</v>
      </c>
      <c r="DG49" s="267">
        <f>INDEX($AO$43:$BB$56,MATCH($CW49,$L$43:$L$56,0),MATCH(DG$44,$AO$44:$BB$44,0))/INDEX(고양시_재차인원!$K$4:$O$20,MATCH("경기도",고양시_재차인원!$K$4:$K$20,0),MATCH('A.일산테크노밸리(859991)_수정'!DG$44,고양시_재차인원!$K$4:$O$4,0))</f>
        <v>2.6109717167520355E-3</v>
      </c>
      <c r="DH49" s="267">
        <f>INDEX($AO$43:$BB$56,MATCH($CW49,$L$43:$L$56,0),MATCH(DH$44,$AO$44:$BB$44,0))/INDEX(고양시_재차인원!$K$4:$O$20,MATCH("경기도",고양시_재차인원!$K$4:$K$20,0),MATCH('A.일산테크노밸리(859991)_수정'!DH$44,고양시_재차인원!$K$4:$O$4,0))</f>
        <v>0.1033198807914734</v>
      </c>
      <c r="DI49" s="267">
        <f>INDEX($AO$43:$BB$56,MATCH($CW49,$L$43:$L$56,0),MATCH(DI$44,$AO$44:$BB$44,0))/INDEX(고양시_재차인원!$K$4:$O$20,MATCH("경기도",고양시_재차인원!$K$4:$K$20,0),MATCH('A.일산테크노밸리(859991)_수정'!DI$44,고양시_재차인원!$K$4:$O$4,0))</f>
        <v>1.8255541247570697</v>
      </c>
      <c r="DJ49" s="268">
        <f>INDEX($BC$43:$BP$56,MATCH($CW49,$L$43:$L$56,0),MATCH(DJ$44,$BC$44:$BP$44,0))/INDEX(고양시_재차인원!$D$4:$H$35,MATCH("고양시",고양시_재차인원!$B$4:$B$35,0),MATCH('A.일산테크노밸리(859991)_수정'!$DJ$43,고양시_재차인원!$D$4:$H$4,0))</f>
        <v>0.17731996606783559</v>
      </c>
      <c r="DK49" s="267">
        <f>INDEX($BC$43:$BP$56,MATCH($CW49,$L$43:$L$56,0),MATCH(DK$44,$BC$44:$BP$44,0))/INDEX(고양시_재차인원!$K$4:$O$20,MATCH("경기도",고양시_재차인원!$K$4:$K$20,0),MATCH('A.일산테크노밸리(859991)_수정'!DK$44,고양시_재차인원!$K$4:$O$4,0))</f>
        <v>5.3711418173184853E-4</v>
      </c>
      <c r="DL49" s="267">
        <f>INDEX($BC$43:$BP$56,MATCH($CW49,$L$43:$L$56,0),MATCH(DL$44,$BC$44:$BP$44,0))/INDEX(고양시_재차인원!$K$4:$O$20,MATCH("경기도",고양시_재차인원!$K$4:$K$20,0),MATCH('A.일산테크노밸리(859991)_수정'!DL$44,고양시_재차인원!$K$4:$O$4,0))</f>
        <v>3.5807612115456563E-4</v>
      </c>
      <c r="DM49" s="267">
        <f>INDEX($BC$43:$BP$56,MATCH($CW49,$L$43:$L$56,0),MATCH(DM$44,$BC$44:$BP$44,0))/INDEX(고양시_재차인원!$K$4:$O$20,MATCH("경기도",고양시_재차인원!$K$4:$K$20,0),MATCH('A.일산테크노밸리(859991)_수정'!DM$44,고양시_재차인원!$K$4:$O$4,0))</f>
        <v>1.4754894089096719E-3</v>
      </c>
      <c r="DN49" s="268">
        <f>INDEX($BQ$43:$CD$56,MATCH($CW49,$L$43:$L$56,0),MATCH(DN$44,$BQ$44:$CD$44,0))/INDEX(고양시_재차인원!$D$4:$H$35,MATCH("고양시",고양시_재차인원!$B$4:$B$35,0),MATCH('A.일산테크노밸리(859991)_수정'!$DN$43,고양시_재차인원!$D$4:$H$4,0))</f>
        <v>0.40129120891440445</v>
      </c>
      <c r="DO49" s="267">
        <f>INDEX($BQ$43:$CD$56,MATCH($CW49,$L$43:$L$56,0),MATCH(DO$44,$BQ$44:$CD$44,0))/INDEX(고양시_재차인원!$K$4:$O$20,MATCH("경기도",고양시_재차인원!$K$4:$K$20,0),MATCH('A.일산테크노밸리(859991)_수정'!DO$44,고양시_재차인원!$K$4:$O$4,0))</f>
        <v>1.6020703292522721E-3</v>
      </c>
      <c r="DP49" s="267">
        <f>INDEX($BQ$43:$CD$56,MATCH($CW49,$L$43:$L$56,0),MATCH(DP$44,$BQ$44:$CD$44,0))/INDEX(고양시_재차인원!$K$4:$O$20,MATCH("경기도",고양시_재차인원!$K$4:$K$20,0),MATCH('A.일산테크노밸리(859991)_수정'!DP$44,고양시_재차인원!$K$4:$O$4,0))</f>
        <v>5.3507429422432777E-3</v>
      </c>
      <c r="DQ49" s="267">
        <f>INDEX($BQ$43:$CD$56,MATCH($CW49,$L$43:$L$56,0),MATCH(DQ$44,$BQ$44:$CD$44,0))/INDEX(고양시_재차인원!$K$4:$O$20,MATCH("경기도",고양시_재차인원!$K$4:$K$20,0),MATCH('A.일산테크노밸리(859991)_수정'!DQ$44,고양시_재차인원!$K$4:$O$4,0))</f>
        <v>3.8505096416721575E-4</v>
      </c>
      <c r="DR49" s="269">
        <f t="shared" si="26"/>
        <v>742.96254324476524</v>
      </c>
      <c r="DS49" s="270">
        <f t="shared" si="20"/>
        <v>5.8323081211877383E-3</v>
      </c>
      <c r="DT49" s="270">
        <f t="shared" si="21"/>
        <v>3.3382721128755031</v>
      </c>
      <c r="DU49" s="270">
        <f t="shared" si="22"/>
        <v>82.718105815337211</v>
      </c>
      <c r="DW49" s="278"/>
      <c r="DX49" s="278" t="s">
        <v>592</v>
      </c>
      <c r="DY49" s="281">
        <f t="shared" si="27"/>
        <v>825.6806490601025</v>
      </c>
      <c r="DZ49" s="281">
        <f t="shared" si="28"/>
        <v>3.344104420996691</v>
      </c>
      <c r="EC49" s="412" t="s">
        <v>14</v>
      </c>
      <c r="ED49" s="412" t="s">
        <v>79</v>
      </c>
      <c r="EE49" s="412">
        <v>7192.9411</v>
      </c>
      <c r="EF49" s="412">
        <v>0.56870722672698226</v>
      </c>
      <c r="EG49" s="413">
        <v>859005</v>
      </c>
      <c r="EH49" s="414">
        <f t="shared" si="29"/>
        <v>149.16063915791793</v>
      </c>
      <c r="EI49" s="415">
        <f t="shared" si="30"/>
        <v>0.60411825493850979</v>
      </c>
      <c r="EJ49" s="402">
        <v>0</v>
      </c>
      <c r="EM49" s="278" t="s">
        <v>14</v>
      </c>
      <c r="EN49" s="278" t="s">
        <v>79</v>
      </c>
      <c r="EO49" s="278">
        <v>7192.9411</v>
      </c>
      <c r="EP49" s="278">
        <v>0.56870722672698226</v>
      </c>
      <c r="EQ49" s="289">
        <v>859005</v>
      </c>
      <c r="ER49" s="290">
        <f t="shared" si="31"/>
        <v>149.16063915791793</v>
      </c>
      <c r="ES49" s="291">
        <f t="shared" si="23"/>
        <v>0.60411825493850979</v>
      </c>
      <c r="ET49" s="402">
        <v>0</v>
      </c>
      <c r="EV49" s="34"/>
      <c r="EW49" s="34"/>
      <c r="EX49" s="34"/>
      <c r="EY49" s="34"/>
      <c r="EZ49" s="378"/>
      <c r="FA49" s="401"/>
      <c r="FB49" s="402"/>
      <c r="FC49" s="402"/>
    </row>
    <row r="50" spans="1:159" ht="27" customHeight="1">
      <c r="A50" s="205"/>
      <c r="B50" s="205" t="s">
        <v>17</v>
      </c>
      <c r="C50" s="400">
        <f>'A.일산테크노밸리(859991)_수정'!$P33*KTDB_TripDistribution_2045!L$12 * (1 + KTDB_발생량도착량_증가율!$D$7*5) * (1 + KTDB_발생량도착량_증가율!$E$7*5) * (1 + KTDB_발생량도착량_증가율!$F$7*5) * (1 + KTDB_발생량도착량_증가율!$G$7*5)</f>
        <v>265.96829098432664</v>
      </c>
      <c r="D50" s="400">
        <f>'A.일산테크노밸리(859991)_수정'!$P33*KTDB_TripDistribution_2045!M$12 * (1 + KTDB_발생량도착량_증가율!$D$7*5) * (1 + KTDB_발생량도착량_증가율!$E$7*5) * (1 + KTDB_발생량도착량_증가율!$F$7*5) * (1 + KTDB_발생량도착량_증가율!$G$7*5)</f>
        <v>2068.2048986575201</v>
      </c>
      <c r="E50" s="400">
        <f>'A.일산테크노밸리(859991)_수정'!$P33*KTDB_TripDistribution_2045!N$12 * (1 + KTDB_발생량도착량_증가율!$D$7*5) * (1 + KTDB_발생량도착량_증가율!$E$7*5) * (1 + KTDB_발생량도착량_증가율!$F$7*5) * (1 + KTDB_발생량도착량_증가율!$G$7*5)</f>
        <v>91.673912416703615</v>
      </c>
      <c r="F50" s="400">
        <f>'A.일산테크노밸리(859991)_수정'!$P33*KTDB_TripDistribution_2045!O$12 * (1 + KTDB_발생량도착량_증가율!$D$7*5) * (1 + KTDB_발생량도착량_증가율!$E$7*5) * (1 + KTDB_발생량도착량_증가율!$F$7*5) * (1 + KTDB_발생량도착량_증가율!$G$7*5)</f>
        <v>0.24860722011309513</v>
      </c>
      <c r="G50" s="400">
        <f>'A.일산테크노밸리(859991)_수정'!$P33*KTDB_TripDistribution_2045!P$12 * (1 + KTDB_발생량도착량_증가율!$D$7*5) * (1 + KTDB_발생량도착량_증가율!$E$7*5) * (1 + KTDB_발생량도착량_증가율!$F$7*5) * (1 + KTDB_발생량도착량_증가율!$G$7*5)</f>
        <v>0.70438712365376721</v>
      </c>
      <c r="H50" s="400">
        <f>'A.일산테크노밸리(859991)_수정'!$P33*KTDB_TripDistribution_2045!Q$12 * (1 + KTDB_발생량도착량_증가율!$D$7*5) * (1 + KTDB_발생량도착량_증가율!$E$7*5) * (1 + KTDB_발생량도착량_증가율!$F$7*5) * (1 + KTDB_발생량도착량_증가율!$G$7*5)</f>
        <v>2426.8000964023172</v>
      </c>
      <c r="J50" s="230">
        <f t="shared" si="6"/>
        <v>2426.8000964023172</v>
      </c>
      <c r="K50" s="206"/>
      <c r="L50" s="209" t="s">
        <v>17</v>
      </c>
      <c r="M50" s="213">
        <f>INDEX($A$44:$H$56,MATCH($L50,$B$44:$B$56,0),MATCH($M$43,$A$44:$H$44,0))*고양시_Modal_split!C$3 * 0.01</f>
        <v>0.74471121475611457</v>
      </c>
      <c r="N50" s="207">
        <f>INDEX($A$44:$H$56,MATCH($L50,$B$44:$B$56,0),MATCH($M$43,$A$44:$H$44,0))*고양시_Modal_split!D$3 * 0.01</f>
        <v>125.08488724992881</v>
      </c>
      <c r="O50" s="207">
        <f>INDEX($A$44:$H$56,MATCH($L50,$B$44:$B$56,0),MATCH($M$43,$A$44:$H$44,0))*고양시_Modal_split!E$3 * 0.01</f>
        <v>15.133595757008184</v>
      </c>
      <c r="P50" s="207">
        <f>INDEX($A$44:$H$56,MATCH($L50,$B$44:$B$56,0),MATCH($M$43,$A$44:$H$44,0))*고양시_Modal_split!F$3 * 0.01</f>
        <v>24.389292283262755</v>
      </c>
      <c r="Q50" s="207">
        <f>INDEX($A$44:$H$56,MATCH($L50,$B$44:$B$56,0),MATCH($M$43,$A$44:$H$44,0))*고양시_Modal_split!G$3 * 0.01</f>
        <v>2.446908277055805</v>
      </c>
      <c r="R50" s="207">
        <f>INDEX($A$44:$H$56,MATCH($L50,$B$44:$B$56,0),MATCH($M$43,$A$44:$H$44,0))*고양시_Modal_split!H$3 * 0.01</f>
        <v>2.6596829098432667E-2</v>
      </c>
      <c r="S50" s="207">
        <f>INDEX($A$44:$H$56,MATCH($L50,$B$44:$B$56,0),MATCH($M$43,$A$44:$H$44,0))*고양시_Modal_split!I$3 * 0.01</f>
        <v>7.39391848936428</v>
      </c>
      <c r="T50" s="207">
        <f>INDEX($A$44:$H$56,MATCH($L50,$B$44:$B$56,0),MATCH($M$43,$A$44:$H$44,0))*고양시_Modal_split!J$3 * 0.01</f>
        <v>80.960747775629031</v>
      </c>
      <c r="U50" s="207">
        <f>INDEX($A$44:$H$56,MATCH($L50,$B$44:$B$56,0),MATCH($M$43,$A$44:$H$44,0))*고양시_Modal_split!K$3 * 0.01</f>
        <v>0.39895243647648998</v>
      </c>
      <c r="V50" s="207">
        <f>INDEX($A$44:$H$56,MATCH($L50,$B$44:$B$56,0),MATCH($M$43,$A$44:$H$44,0))*고양시_Modal_split!L$3 * 0.01</f>
        <v>8.0322423877266651</v>
      </c>
      <c r="W50" s="207">
        <f>INDEX($A$44:$H$56,MATCH($L50,$B$44:$B$56,0),MATCH($M$43,$A$44:$H$44,0))*고양시_Modal_split!M$3 * 0.01</f>
        <v>0.61172706926395126</v>
      </c>
      <c r="X50" s="207">
        <f>INDEX($A$44:$H$56,MATCH($L50,$B$44:$B$56,0),MATCH($M$43,$A$44:$H$44,0))*고양시_Modal_split!N$3 * 0.01</f>
        <v>0.26596829098432667</v>
      </c>
      <c r="Y50" s="207">
        <f>INDEX($A$44:$H$56,MATCH($L50,$B$44:$B$56,0),MATCH($M$43,$A$44:$H$44,0))*고양시_Modal_split!O$3 * 0.01</f>
        <v>0.47874292377178795</v>
      </c>
      <c r="Z50" s="214">
        <f>INDEX($A$44:$H$56,MATCH($L50,$B$44:$B$56,0),MATCH($M$43,$A$44:$H$44,0))*고양시_Modal_split!P$3 * 0.01</f>
        <v>265.96829098432664</v>
      </c>
      <c r="AA50" s="213">
        <f>INDEX($A$44:$H$56,MATCH($L50,$B$44:$B$56,0),MATCH($AA$43,$A$44:$H$44,0))*고양시_Modal_split!C$4 * 0.01</f>
        <v>629.56157115134909</v>
      </c>
      <c r="AB50" s="207">
        <f>INDEX($A$44:$H$56,MATCH($L50,$B$44:$B$56,0),MATCH($AA$43,$A$44:$H$44,0))*고양시_Modal_split!D$4 * 0.01</f>
        <v>663.27331099946662</v>
      </c>
      <c r="AC50" s="207">
        <f>INDEX($A$44:$H$56,MATCH($L50,$B$44:$B$56,0),MATCH($AA$43,$A$44:$H$44,0))*고양시_Modal_split!E$4 * 0.01</f>
        <v>160.6995206256893</v>
      </c>
      <c r="AD50" s="207">
        <f>INDEX($A$44:$H$56,MATCH($L50,$B$44:$B$56,0),MATCH($AA$43,$A$44:$H$44,0))*고양시_Modal_split!F$4 * 0.01</f>
        <v>19.64794653724644</v>
      </c>
      <c r="AE50" s="207">
        <f>INDEX($A$44:$H$56,MATCH($L50,$B$44:$B$56,0),MATCH($AA$43,$A$44:$H$44,0))*고양시_Modal_split!G$4 * 0.01</f>
        <v>242.1867936327956</v>
      </c>
      <c r="AF50" s="207">
        <f>INDEX($A$44:$H$56,MATCH($L50,$B$44:$B$56,0),MATCH($AA$43,$A$44:$H$44,0))*고양시_Modal_split!H$4 * 0.01</f>
        <v>0</v>
      </c>
      <c r="AG50" s="207">
        <f>INDEX($A$44:$H$56,MATCH($L50,$B$44:$B$56,0),MATCH($AA$43,$A$44:$H$44,0))*고양시_Modal_split!I$4 * 0.01</f>
        <v>71.973530473281684</v>
      </c>
      <c r="AH50" s="207">
        <f>INDEX($A$44:$H$56,MATCH($L50,$B$44:$B$56,0),MATCH($AA$43,$A$44:$H$44,0))*고양시_Modal_split!J$4 * 0.01</f>
        <v>97.412450726769208</v>
      </c>
      <c r="AI50" s="207">
        <f>INDEX($A$44:$H$56,MATCH($L50,$B$44:$B$56,0),MATCH($AA$43,$A$44:$H$44,0))*고양시_Modal_split!K$4 * 0.01</f>
        <v>0</v>
      </c>
      <c r="AJ50" s="207">
        <f>INDEX($A$44:$H$56,MATCH($L50,$B$44:$B$56,0),MATCH($AA$43,$A$44:$H$44,0))*고양시_Modal_split!L$4 * 0.01</f>
        <v>95.551066317977416</v>
      </c>
      <c r="AK50" s="207">
        <f>INDEX($A$44:$H$56,MATCH($L50,$B$44:$B$56,0),MATCH($AA$43,$A$44:$H$44,0))*고양시_Modal_split!M$4 * 0.01</f>
        <v>13.856972821005385</v>
      </c>
      <c r="AL50" s="207">
        <f>INDEX($A$44:$H$56,MATCH($L50,$B$44:$B$56,0),MATCH($AA$43,$A$44:$H$44,0))*고양시_Modal_split!N$4 * 0.01</f>
        <v>51.705122466438006</v>
      </c>
      <c r="AM50" s="207">
        <f>INDEX($A$44:$H$56,MATCH($L50,$B$44:$B$56,0),MATCH($AA$43,$A$44:$H$44,0))*고양시_Modal_split!O$4 * 0.01</f>
        <v>22.336612905501219</v>
      </c>
      <c r="AN50" s="214">
        <f>INDEX($A$44:$H$56,MATCH($L50,$B$44:$B$56,0),MATCH($AA$43,$A$44:$H$44,0))*고양시_Modal_split!P$4 * 0.01</f>
        <v>2068.2048986575201</v>
      </c>
      <c r="AO50" s="213">
        <f>INDEX($A$44:$H$56,MATCH($L50,$B$44:$B$56,0),MATCH($AO$43,$A$44:$H$44,0))*고양시_Modal_split!C$5 * 0.01</f>
        <v>5.5004347450022167E-2</v>
      </c>
      <c r="AP50" s="207">
        <f>INDEX($A$44:$H$56,MATCH($L50,$B$44:$B$56,0),MATCH($AO$43,$A$44:$H$44,0))*고양시_Modal_split!D$5 * 0.01</f>
        <v>67.178643018960415</v>
      </c>
      <c r="AQ50" s="207">
        <f>INDEX($A$44:$H$56,MATCH($L50,$B$44:$B$56,0),MATCH($AO$43,$A$44:$H$44,0))*고양시_Modal_split!E$5 * 0.01</f>
        <v>9.029880373045307</v>
      </c>
      <c r="AR50" s="207">
        <f>INDEX($A$44:$H$56,MATCH($L50,$B$44:$B$56,0),MATCH($AO$43,$A$44:$H$44,0))*고양시_Modal_split!F$5 * 0.01</f>
        <v>1.925152160750776</v>
      </c>
      <c r="AS50" s="207">
        <f>INDEX($A$44:$H$56,MATCH($L50,$B$44:$B$56,0),MATCH($AO$43,$A$44:$H$44,0))*고양시_Modal_split!G$5 * 0.01</f>
        <v>0.59588043070857355</v>
      </c>
      <c r="AT50" s="207">
        <f>INDEX($A$44:$H$56,MATCH($L50,$B$44:$B$56,0),MATCH($AO$43,$A$44:$H$44,0))*고양시_Modal_split!H$5 * 0.01</f>
        <v>6.4171738691692529E-2</v>
      </c>
      <c r="AU50" s="207">
        <f>INDEX($A$44:$H$56,MATCH($L50,$B$44:$B$56,0),MATCH($AO$43,$A$44:$H$44,0))*고양시_Modal_split!I$5 * 0.01</f>
        <v>2.5393673739426901</v>
      </c>
      <c r="AV50" s="207">
        <f>INDEX($A$44:$H$56,MATCH($L50,$B$44:$B$56,0),MATCH($AO$43,$A$44:$H$44,0))*고양시_Modal_split!J$5 * 0.01</f>
        <v>5.7479543085273166</v>
      </c>
      <c r="AW50" s="207">
        <f>INDEX($A$44:$H$56,MATCH($L50,$B$44:$B$56,0),MATCH($AO$43,$A$44:$H$44,0))*고양시_Modal_split!K$5 * 0.01</f>
        <v>1.8334782483340722E-2</v>
      </c>
      <c r="AX50" s="207">
        <f>INDEX($A$44:$H$56,MATCH($L50,$B$44:$B$56,0),MATCH($AO$43,$A$44:$H$44,0))*고양시_Modal_split!L$5 * 0.01</f>
        <v>2.3376847666259422</v>
      </c>
      <c r="AY50" s="207">
        <f>INDEX($A$44:$H$56,MATCH($L50,$B$44:$B$56,0),MATCH($AO$43,$A$44:$H$44,0))*고양시_Modal_split!M$5 * 0.01</f>
        <v>0.6142152131919143</v>
      </c>
      <c r="AZ50" s="207">
        <f>INDEX($A$44:$H$56,MATCH($L50,$B$44:$B$56,0),MATCH($AO$43,$A$44:$H$44,0))*고양시_Modal_split!N$5 * 0.01</f>
        <v>0.15584565110839613</v>
      </c>
      <c r="BA50" s="207">
        <f>INDEX($A$44:$H$56,MATCH($L50,$B$44:$B$56,0),MATCH($AO$43,$A$44:$H$44,0))*고양시_Modal_split!O$5 * 0.01</f>
        <v>1.4117782512172357</v>
      </c>
      <c r="BB50" s="214">
        <f>INDEX($A$44:$H$56,MATCH($L50,$B$44:$B$56,0),MATCH($AO$43,$A$44:$H$44,0))*고양시_Modal_split!P$5 * 0.01</f>
        <v>91.673912416703601</v>
      </c>
      <c r="BC50" s="213">
        <f>INDEX($A$44:$H$56,MATCH($L50,$B$44:$B$56,0),MATCH($BC$43,$A$44:$H$44,0))*고양시_Modal_split!C$6 * 0.01</f>
        <v>0</v>
      </c>
      <c r="BD50" s="207">
        <f>INDEX($A$44:$H$56,MATCH($L50,$B$44:$B$56,0),MATCH($BC$43,$A$44:$H$44,0))*고양시_Modal_split!D$6 * 0.01</f>
        <v>0.20587163897565405</v>
      </c>
      <c r="BE50" s="207">
        <f>INDEX($A$44:$H$56,MATCH($L50,$B$44:$B$56,0),MATCH($BC$43,$A$44:$H$44,0))*고양시_Modal_split!E$6 * 0.01</f>
        <v>1.0690110464863091E-3</v>
      </c>
      <c r="BF50" s="207">
        <f>INDEX($A$44:$H$56,MATCH($L50,$B$44:$B$56,0),MATCH($BC$43,$A$44:$H$44,0))*고양시_Modal_split!F$6 * 0.01</f>
        <v>3.0330080853797604E-3</v>
      </c>
      <c r="BG50" s="207">
        <f>INDEX($A$44:$H$56,MATCH($L50,$B$44:$B$56,0),MATCH($BC$43,$A$44:$H$44,0))*고양시_Modal_split!G$6 * 0.01</f>
        <v>0</v>
      </c>
      <c r="BH50" s="207">
        <f>INDEX($A$44:$H$56,MATCH($L50,$B$44:$B$56,0),MATCH($BC$43,$A$44:$H$44,0))*고양시_Modal_split!H$6 * 0.01</f>
        <v>1.3201043388005354E-2</v>
      </c>
      <c r="BI50" s="207">
        <f>INDEX($A$44:$H$56,MATCH($L50,$B$44:$B$56,0),MATCH($BC$43,$A$44:$H$44,0))*고양시_Modal_split!I$6 * 0.01</f>
        <v>8.8006955920035684E-3</v>
      </c>
      <c r="BJ50" s="207">
        <f>INDEX($A$44:$H$56,MATCH($L50,$B$44:$B$56,0),MATCH($BC$43,$A$44:$H$44,0))*고양시_Modal_split!J$6 * 0.01</f>
        <v>1.2281196673586899E-2</v>
      </c>
      <c r="BK50" s="207">
        <f>INDEX($A$44:$H$56,MATCH($L50,$B$44:$B$56,0),MATCH($BC$43,$A$44:$H$44,0))*고양시_Modal_split!K$6 * 0.01</f>
        <v>0</v>
      </c>
      <c r="BL50" s="207">
        <f>INDEX($A$44:$H$56,MATCH($L50,$B$44:$B$56,0),MATCH($BC$43,$A$44:$H$44,0))*고양시_Modal_split!L$6 * 0.01</f>
        <v>1.8894148728595232E-3</v>
      </c>
      <c r="BM50" s="207">
        <f>INDEX($A$44:$H$56,MATCH($L50,$B$44:$B$56,0),MATCH($BC$43,$A$44:$H$44,0))*고양시_Modal_split!M$6 * 0.01</f>
        <v>2.2623257030291656E-3</v>
      </c>
      <c r="BN50" s="207">
        <f>INDEX($A$44:$H$56,MATCH($L50,$B$44:$B$56,0),MATCH($BC$43,$A$44:$H$44,0))*고양시_Modal_split!N$6 * 0.01</f>
        <v>0</v>
      </c>
      <c r="BO50" s="207">
        <f>INDEX($A$44:$H$56,MATCH($L50,$B$44:$B$56,0),MATCH($BC$43,$A$44:$H$44,0))*고양시_Modal_split!O$6 * 0.01</f>
        <v>1.9888577609047614E-4</v>
      </c>
      <c r="BP50" s="214">
        <f>INDEX($A$44:$H$56,MATCH($L50,$B$44:$B$56,0),MATCH($BC$43,$A$44:$H$44,0))*고양시_Modal_split!P$6 * 0.01</f>
        <v>0.24860722011309513</v>
      </c>
      <c r="BQ50" s="213">
        <f>INDEX($A$44:$H$56,MATCH($L50,$B$44:$B$56,0),MATCH($BQ$43,$A$44:$H$44,0))*고양시_Modal_split!C$7 * 0.01</f>
        <v>0</v>
      </c>
      <c r="BR50" s="207">
        <f>INDEX($A$44:$H$56,MATCH($L50,$B$44:$B$56,0),MATCH($BQ$43,$A$44:$H$44,0))*고양시_Modal_split!D$7 * 0.01</f>
        <v>0.43164842937502856</v>
      </c>
      <c r="BS50" s="207">
        <f>INDEX($A$44:$H$56,MATCH($L50,$B$44:$B$56,0),MATCH($BQ$43,$A$44:$H$44,0))*고양시_Modal_split!E$7 * 0.01</f>
        <v>2.1061174997247637E-2</v>
      </c>
      <c r="BT50" s="207">
        <f>INDEX($A$44:$H$56,MATCH($L50,$B$44:$B$56,0),MATCH($BQ$43,$A$44:$H$44,0))*고양시_Modal_split!F$7 * 0.01</f>
        <v>7.0438712365376724E-3</v>
      </c>
      <c r="BU50" s="207">
        <f>INDEX($A$44:$H$56,MATCH($L50,$B$44:$B$56,0),MATCH($BQ$43,$A$44:$H$44,0))*고양시_Modal_split!G$7 * 0.01</f>
        <v>2.9584259193458223E-3</v>
      </c>
      <c r="BV50" s="207">
        <f>INDEX($A$44:$H$56,MATCH($L50,$B$44:$B$56,0),MATCH($BQ$43,$A$44:$H$44,0))*고양시_Modal_split!H$7 * 0.01</f>
        <v>3.9375240212245588E-2</v>
      </c>
      <c r="BW50" s="207">
        <f>INDEX($A$44:$H$56,MATCH($L50,$B$44:$B$56,0),MATCH($BQ$43,$A$44:$H$44,0))*고양시_Modal_split!I$7 * 0.01</f>
        <v>0.13150907598615835</v>
      </c>
      <c r="BX50" s="207">
        <f>INDEX($A$44:$H$56,MATCH($L50,$B$44:$B$56,0),MATCH($BQ$43,$A$44:$H$44,0))*고양시_Modal_split!J$7 * 0.01</f>
        <v>1.4087742473075344E-4</v>
      </c>
      <c r="BY50" s="207">
        <f>INDEX($A$44:$H$56,MATCH($L50,$B$44:$B$56,0),MATCH($BQ$43,$A$44:$H$44,0))*고양시_Modal_split!K$7 * 0.01</f>
        <v>5.4237808521340081E-2</v>
      </c>
      <c r="BZ50" s="207">
        <f>INDEX($A$44:$H$56,MATCH($L50,$B$44:$B$56,0),MATCH($BQ$43,$A$44:$H$44,0))*고양시_Modal_split!L$7 * 0.01</f>
        <v>4.9307098655763698E-4</v>
      </c>
      <c r="CA50" s="207">
        <f>INDEX($A$44:$H$56,MATCH($L50,$B$44:$B$56,0),MATCH($BQ$43,$A$44:$H$44,0))*고양시_Modal_split!M$7 * 0.01</f>
        <v>1.3172039212325449E-2</v>
      </c>
      <c r="CB50" s="207">
        <f>INDEX($A$44:$H$56,MATCH($L50,$B$44:$B$56,0),MATCH($BQ$43,$A$44:$H$44,0))*고양시_Modal_split!N$7 * 0.01</f>
        <v>2.7471097822496923E-3</v>
      </c>
      <c r="CC50" s="207">
        <f>INDEX($A$44:$H$56,MATCH($L50,$B$44:$B$56,0),MATCH($BQ$43,$A$44:$H$44,0))*고양시_Modal_split!O$7 * 0.01</f>
        <v>0</v>
      </c>
      <c r="CD50" s="214">
        <f>INDEX($A$44:$H$56,MATCH($L50,$B$44:$B$56,0),MATCH($BQ$43,$A$44:$H$44,0))*고양시_Modal_split!P$7 * 0.01</f>
        <v>0.70438712365376721</v>
      </c>
      <c r="CE50" s="218">
        <f t="shared" si="24"/>
        <v>630.36128671355516</v>
      </c>
      <c r="CF50" s="208">
        <f t="shared" si="7"/>
        <v>856.17436133670651</v>
      </c>
      <c r="CG50" s="208">
        <f t="shared" si="8"/>
        <v>184.88512694178652</v>
      </c>
      <c r="CH50" s="208">
        <f t="shared" si="9"/>
        <v>45.972467860581894</v>
      </c>
      <c r="CI50" s="208">
        <f t="shared" si="10"/>
        <v>245.23254076647933</v>
      </c>
      <c r="CJ50" s="208">
        <f t="shared" si="11"/>
        <v>0.14334485139037614</v>
      </c>
      <c r="CK50" s="208">
        <f t="shared" si="12"/>
        <v>82.047126108166822</v>
      </c>
      <c r="CL50" s="208">
        <f t="shared" si="13"/>
        <v>184.13357488502388</v>
      </c>
      <c r="CM50" s="208">
        <f t="shared" si="14"/>
        <v>0.47152502748117076</v>
      </c>
      <c r="CN50" s="208">
        <f t="shared" si="15"/>
        <v>105.92337595818945</v>
      </c>
      <c r="CO50" s="208">
        <f t="shared" si="16"/>
        <v>15.098349468376604</v>
      </c>
      <c r="CP50" s="208">
        <f t="shared" si="17"/>
        <v>52.129683518312973</v>
      </c>
      <c r="CQ50" s="208">
        <f t="shared" si="18"/>
        <v>24.227332966266331</v>
      </c>
      <c r="CR50" s="219">
        <f t="shared" si="19"/>
        <v>2426.8000964023172</v>
      </c>
      <c r="CS50" s="225">
        <f t="shared" si="25"/>
        <v>0</v>
      </c>
      <c r="CV50" s="265"/>
      <c r="CW50" s="266" t="s">
        <v>17</v>
      </c>
      <c r="CX50" s="267">
        <f>INDEX($M$43:$Z$56,MATCH($CW50,$L$43:$L$56,0),MATCH(CX$44,$M$44:$Z$44,0))/INDEX(고양시_재차인원!$D$4:$H$35,MATCH("고양시",고양시_재차인원!$B$4:$B$35,0),MATCH('A.일산테크노밸리(859991)_수정'!$CX$43,고양시_재차인원!$D$4:$H$4,0))</f>
        <v>111.68293504457928</v>
      </c>
      <c r="CY50" s="267">
        <f>INDEX($M$43:$Z$56,MATCH($CW50,$L$43:$L$56,0),MATCH(CY$44,$M$44:$Z$44,0))/INDEX(고양시_재차인원!$K$4:$O$20,MATCH("경기도",고양시_재차인원!$K$4:$K$20,0),MATCH('A.일산테크노밸리(859991)_수정'!CY$44,고양시_재차인원!$K$4:$O$4,0))</f>
        <v>9.2382178181426428E-4</v>
      </c>
      <c r="CZ50" s="267">
        <f>INDEX($M$43:$Z$56,MATCH($CW50,$L$43:$L$56,0),MATCH(CZ$44,$M$44:$Z$44,0))/INDEX(고양시_재차인원!$K$4:$O$20,MATCH("경기도",고양시_재차인원!$K$4:$K$20,0),MATCH('A.일산테크노밸리(859991)_수정'!CZ$44,고양시_재차인원!$K$4:$O$4,0))</f>
        <v>0.25682245534436543</v>
      </c>
      <c r="DA50" s="267">
        <f>INDEX($M$43:$Z$56,MATCH($CW50,$L$43:$L$56,0),MATCH(DA$44,$M$44:$Z$44,0))/INDEX(고양시_재차인원!$K$4:$O$20,MATCH("경기도",고양시_재차인원!$K$4:$K$20,0),MATCH('A.일산테크노밸리(859991)_수정'!DA$44,고양시_재차인원!$K$4:$O$4,0))</f>
        <v>5.3548282584844431</v>
      </c>
      <c r="DB50" s="268">
        <f>INDEX($AA$43:$AN$56,MATCH($CW50,$L$43:$L$56,0),MATCH(DB$44,$AA$44:$AN$44,0))/INDEX(고양시_재차인원!$D$4:$H$35,MATCH("고양시",고양시_재차인원!$B$4:$B$35,0),MATCH('A.일산테크노밸리(859991)_수정'!$DB$43,고양시_재차인원!$D$4:$H$4,0))</f>
        <v>470.40660354572105</v>
      </c>
      <c r="DC50" s="267">
        <f>INDEX($AA$43:$AN$56,MATCH($CW50,$L$43:$L$56,0),MATCH(DC$44,$AA$44:$AN$44,0))/INDEX(고양시_재차인원!$K$4:$O$20,MATCH("경기도",고양시_재차인원!$K$4:$K$20,0),MATCH('A.일산테크노밸리(859991)_수정'!DC$44,고양시_재차인원!$K$4:$O$4,0))</f>
        <v>0</v>
      </c>
      <c r="DD50" s="267">
        <f>INDEX($AA$43:$AN$56,MATCH($CW50,$L$43:$L$56,0),MATCH(DD$44,$AA$44:$AN$44,0))/INDEX(고양시_재차인원!$K$4:$O$20,MATCH("경기도",고양시_재차인원!$K$4:$K$20,0),MATCH('A.일산테크노밸리(859991)_수정'!DD$44,고양시_재차인원!$K$4:$O$4,0))</f>
        <v>2.4999489570434763</v>
      </c>
      <c r="DE50" s="267">
        <f>INDEX($AA$43:$AN$56,MATCH($CW50,$L$43:$L$56,0),MATCH(DE$44,$AA$44:$AN$44,0))/INDEX(고양시_재차인원!$K$4:$O$20,MATCH("경기도",고양시_재차인원!$K$4:$K$20,0),MATCH('A.일산테크노밸리(859991)_수정'!DE$44,고양시_재차인원!$K$4:$O$4,0))</f>
        <v>63.700710878651613</v>
      </c>
      <c r="DF50" s="268">
        <f>INDEX($AO$43:$BB$56,MATCH($CW50,$L$43:$L$56,0),MATCH(DF$44,$AO$44:$BB$44,0))/INDEX(고양시_재차인원!$D$4:$H$35,MATCH("고양시",고양시_재차인원!$B$4:$B$35,0),MATCH('A.일산테크노밸리(859991)_수정'!$DF$43,고양시_재차인원!$D$4:$H$4,0))</f>
        <v>51.67587924535416</v>
      </c>
      <c r="DG50" s="267">
        <f>INDEX($AO$43:$BB$56,MATCH($CW50,$L$43:$L$56,0),MATCH(DG$44,$AO$44:$BB$44,0))/INDEX(고양시_재차인원!$K$4:$O$20,MATCH("경기도",고양시_재차인원!$K$4:$K$20,0),MATCH('A.일산테크노밸리(859991)_수정'!DG$44,고양시_재차인원!$K$4:$O$4,0))</f>
        <v>2.2289593154460759E-3</v>
      </c>
      <c r="DH50" s="267">
        <f>INDEX($AO$43:$BB$56,MATCH($CW50,$L$43:$L$56,0),MATCH(DH$44,$AO$44:$BB$44,0))/INDEX(고양시_재차인원!$K$4:$O$20,MATCH("경기도",고양시_재차인원!$K$4:$K$20,0),MATCH('A.일산테크노밸리(859991)_수정'!DH$44,고양시_재차인원!$K$4:$O$4,0))</f>
        <v>8.8203104339794725E-2</v>
      </c>
      <c r="DI50" s="267">
        <f>INDEX($AO$43:$BB$56,MATCH($CW50,$L$43:$L$56,0),MATCH(DI$44,$AO$44:$BB$44,0))/INDEX(고양시_재차인원!$K$4:$O$20,MATCH("경기도",고양시_재차인원!$K$4:$K$20,0),MATCH('A.일산테크노밸리(859991)_수정'!DI$44,고양시_재차인원!$K$4:$O$4,0))</f>
        <v>1.5584565110839614</v>
      </c>
      <c r="DJ50" s="268">
        <f>INDEX($BC$43:$BP$56,MATCH($CW50,$L$43:$L$56,0),MATCH(DJ$44,$BC$44:$BP$44,0))/INDEX(고양시_재차인원!$D$4:$H$35,MATCH("고양시",고양시_재차인원!$B$4:$B$35,0),MATCH('A.일산테크노밸리(859991)_수정'!$DJ$43,고양시_재차인원!$D$4:$H$4,0))</f>
        <v>0.15137620512915739</v>
      </c>
      <c r="DK50" s="267">
        <f>INDEX($BC$43:$BP$56,MATCH($CW50,$L$43:$L$56,0),MATCH(DK$44,$BC$44:$BP$44,0))/INDEX(고양시_재차인원!$K$4:$O$20,MATCH("경기도",고양시_재차인원!$K$4:$K$20,0),MATCH('A.일산테크노밸리(859991)_수정'!DK$44,고양시_재차인원!$K$4:$O$4,0))</f>
        <v>4.5852877346319398E-4</v>
      </c>
      <c r="DL50" s="267">
        <f>INDEX($BC$43:$BP$56,MATCH($CW50,$L$43:$L$56,0),MATCH(DL$44,$BC$44:$BP$44,0))/INDEX(고양시_재차인원!$K$4:$O$20,MATCH("경기도",고양시_재차인원!$K$4:$K$20,0),MATCH('A.일산테크노밸리(859991)_수정'!DL$44,고양시_재차인원!$K$4:$O$4,0))</f>
        <v>3.0568584897546261E-4</v>
      </c>
      <c r="DM50" s="267">
        <f>INDEX($BC$43:$BP$56,MATCH($CW50,$L$43:$L$56,0),MATCH(DM$44,$BC$44:$BP$44,0))/INDEX(고양시_재차인원!$K$4:$O$20,MATCH("경기도",고양시_재차인원!$K$4:$K$20,0),MATCH('A.일산테크노밸리(859991)_수정'!DM$44,고양시_재차인원!$K$4:$O$4,0))</f>
        <v>1.2596099152396821E-3</v>
      </c>
      <c r="DN50" s="268">
        <f>INDEX($BQ$43:$CD$56,MATCH($CW50,$L$43:$L$56,0),MATCH(DN$44,$BQ$44:$CD$44,0))/INDEX(고양시_재차인원!$D$4:$H$35,MATCH("고양시",고양시_재차인원!$B$4:$B$35,0),MATCH('A.일산테크노밸리(859991)_수정'!$DN$43,고양시_재차인원!$D$4:$H$4,0))</f>
        <v>0.34257811855160997</v>
      </c>
      <c r="DO50" s="267">
        <f>INDEX($BQ$43:$CD$56,MATCH($CW50,$L$43:$L$56,0),MATCH(DO$44,$BQ$44:$CD$44,0))/INDEX(고양시_재차인원!$K$4:$O$20,MATCH("경기도",고양시_재차인원!$K$4:$K$20,0),MATCH('A.일산테크노밸리(859991)_수정'!DO$44,고양시_재차인원!$K$4:$O$4,0))</f>
        <v>1.367670726371851E-3</v>
      </c>
      <c r="DP50" s="267">
        <f>INDEX($BQ$43:$CD$56,MATCH($CW50,$L$43:$L$56,0),MATCH(DP$44,$BQ$44:$CD$44,0))/INDEX(고양시_재차인원!$K$4:$O$20,MATCH("경기도",고양시_재차인원!$K$4:$K$20,0),MATCH('A.일산테크노밸리(859991)_수정'!DP$44,고양시_재차인원!$K$4:$O$4,0))</f>
        <v>4.5678734277929262E-3</v>
      </c>
      <c r="DQ50" s="267">
        <f>INDEX($BQ$43:$CD$56,MATCH($CW50,$L$43:$L$56,0),MATCH(DQ$44,$BQ$44:$CD$44,0))/INDEX(고양시_재차인원!$K$4:$O$20,MATCH("경기도",고양시_재차인원!$K$4:$K$20,0),MATCH('A.일산테크노밸리(859991)_수정'!DQ$44,고양시_재차인원!$K$4:$O$4,0))</f>
        <v>3.2871399103842467E-4</v>
      </c>
      <c r="DR50" s="269">
        <f t="shared" si="26"/>
        <v>634.25937215933527</v>
      </c>
      <c r="DS50" s="270">
        <f t="shared" si="20"/>
        <v>4.9789805970953853E-3</v>
      </c>
      <c r="DT50" s="270">
        <f t="shared" si="21"/>
        <v>2.8498480760044047</v>
      </c>
      <c r="DU50" s="270">
        <f t="shared" si="22"/>
        <v>70.615583972126288</v>
      </c>
      <c r="DW50" s="278"/>
      <c r="DX50" s="278" t="s">
        <v>593</v>
      </c>
      <c r="DY50" s="281">
        <f t="shared" si="27"/>
        <v>704.87495613146154</v>
      </c>
      <c r="DZ50" s="281">
        <f t="shared" si="28"/>
        <v>2.8548270566015002</v>
      </c>
      <c r="EC50" s="412" t="s">
        <v>15</v>
      </c>
      <c r="ED50" s="412" t="s">
        <v>570</v>
      </c>
      <c r="EE50" s="412">
        <v>24085.599100000003</v>
      </c>
      <c r="EF50" s="412">
        <v>0.11186292027724311</v>
      </c>
      <c r="EG50" s="413">
        <v>859006</v>
      </c>
      <c r="EH50" s="414">
        <f t="shared" si="29"/>
        <v>827.86846857995954</v>
      </c>
      <c r="EI50" s="415">
        <f t="shared" si="30"/>
        <v>3.3529653491739766</v>
      </c>
      <c r="EJ50" s="402">
        <v>0</v>
      </c>
      <c r="EM50" s="278" t="s">
        <v>15</v>
      </c>
      <c r="EN50" s="278" t="s">
        <v>570</v>
      </c>
      <c r="EO50" s="278">
        <v>24085.599100000003</v>
      </c>
      <c r="EP50" s="278">
        <v>0.11186292027724311</v>
      </c>
      <c r="EQ50" s="289">
        <v>859006</v>
      </c>
      <c r="ER50" s="290">
        <f t="shared" si="31"/>
        <v>827.86846857995954</v>
      </c>
      <c r="ES50" s="291">
        <f t="shared" si="23"/>
        <v>3.3529653491739766</v>
      </c>
      <c r="ET50" s="402">
        <v>0</v>
      </c>
      <c r="EV50" s="34"/>
      <c r="EW50" s="34"/>
      <c r="EX50" s="34"/>
      <c r="EY50" s="34"/>
      <c r="EZ50" s="378"/>
      <c r="FA50" s="401"/>
      <c r="FB50" s="402"/>
      <c r="FC50" s="402"/>
    </row>
    <row r="51" spans="1:159" ht="27" customHeight="1">
      <c r="A51" s="205" t="s">
        <v>491</v>
      </c>
      <c r="B51" s="203" t="s">
        <v>484</v>
      </c>
      <c r="C51" s="400">
        <f>'A.일산테크노밸리(859991)_수정'!$P34*KTDB_TripDistribution_2045!L$12 * (1 + KTDB_발생량도착량_증가율!$D$7*5) * (1 + KTDB_발생량도착량_증가율!$E$7*5) * (1 + KTDB_발생량도착량_증가율!$F$7*5) * (1 + KTDB_발생량도착량_증가율!$G$7*5)</f>
        <v>78.878822512490331</v>
      </c>
      <c r="D51" s="400">
        <f>'A.일산테크노밸리(859991)_수정'!$P34*KTDB_TripDistribution_2045!M$12 * (1 + KTDB_발생량도착량_증가율!$D$7*5) * (1 + KTDB_발생량도착량_증가율!$E$7*5) * (1 + KTDB_발생량도착량_증가율!$F$7*5) * (1 + KTDB_발생량도착량_증가율!$G$7*5)</f>
        <v>613.3722426719022</v>
      </c>
      <c r="E51" s="400">
        <f>'A.일산테크노밸리(859991)_수정'!$P34*KTDB_TripDistribution_2045!N$12 * (1 + KTDB_발생량도착량_증가율!$D$7*5) * (1 + KTDB_발생량도착량_증가율!$E$7*5) * (1 + KTDB_발생량도착량_증가율!$F$7*5) * (1 + KTDB_발생량도착량_증가율!$G$7*5)</f>
        <v>27.187941238336844</v>
      </c>
      <c r="F51" s="400">
        <f>'A.일산테크노밸리(859991)_수정'!$P34*KTDB_TripDistribution_2045!O$12 * (1 + KTDB_발생량도착량_증가율!$D$7*5) * (1 + KTDB_발생량도착량_증가율!$E$7*5) * (1 + KTDB_발생량도착량_증가율!$F$7*5) * (1 + KTDB_발생량도착량_증가율!$G$7*5)</f>
        <v>7.3730010137862803E-2</v>
      </c>
      <c r="G51" s="400">
        <f>'A.일산테크노밸리(859991)_수정'!$P34*KTDB_TripDistribution_2045!P$12 * (1 + KTDB_발생량도착량_증가율!$D$7*5) * (1 + KTDB_발생량도착량_증가율!$E$7*5) * (1 + KTDB_발생량도착량_증가율!$F$7*5) * (1 + KTDB_발생량도착량_증가율!$G$7*5)</f>
        <v>0.20890169539061051</v>
      </c>
      <c r="H51" s="400">
        <f>'A.일산테크노밸리(859991)_수정'!$P34*KTDB_TripDistribution_2045!Q$12 * (1 + KTDB_발생량도착량_증가율!$D$7*5) * (1 + KTDB_발생량도착량_증가율!$E$7*5) * (1 + KTDB_발생량도착량_증가율!$F$7*5) * (1 + KTDB_발생량도착량_증가율!$G$7*5)</f>
        <v>719.72163812825806</v>
      </c>
      <c r="J51" s="230">
        <f t="shared" si="6"/>
        <v>719.72163812825784</v>
      </c>
      <c r="K51" s="206" t="s">
        <v>433</v>
      </c>
      <c r="L51" s="210" t="s">
        <v>485</v>
      </c>
      <c r="M51" s="213">
        <f>INDEX($A$44:$H$56,MATCH($L51,$B$44:$B$56,0),MATCH($M$43,$A$44:$H$44,0))*고양시_Modal_split!C$3 * 0.01</f>
        <v>0.22086070303497291</v>
      </c>
      <c r="N51" s="207">
        <f>INDEX($A$44:$H$56,MATCH($L51,$B$44:$B$56,0),MATCH($M$43,$A$44:$H$44,0))*고양시_Modal_split!D$3 * 0.01</f>
        <v>37.096710227624207</v>
      </c>
      <c r="O51" s="207">
        <f>INDEX($A$44:$H$56,MATCH($L51,$B$44:$B$56,0),MATCH($M$43,$A$44:$H$44,0))*고양시_Modal_split!E$3 * 0.01</f>
        <v>4.4882050009606997</v>
      </c>
      <c r="P51" s="207">
        <f>INDEX($A$44:$H$56,MATCH($L51,$B$44:$B$56,0),MATCH($M$43,$A$44:$H$44,0))*고양시_Modal_split!F$3 * 0.01</f>
        <v>7.2331880243953632</v>
      </c>
      <c r="Q51" s="207">
        <f>INDEX($A$44:$H$56,MATCH($L51,$B$44:$B$56,0),MATCH($M$43,$A$44:$H$44,0))*고양시_Modal_split!G$3 * 0.01</f>
        <v>0.72568516711491104</v>
      </c>
      <c r="R51" s="207">
        <f>INDEX($A$44:$H$56,MATCH($L51,$B$44:$B$56,0),MATCH($M$43,$A$44:$H$44,0))*고양시_Modal_split!H$3 * 0.01</f>
        <v>7.8878822512490326E-3</v>
      </c>
      <c r="S51" s="207">
        <f>INDEX($A$44:$H$56,MATCH($L51,$B$44:$B$56,0),MATCH($M$43,$A$44:$H$44,0))*고양시_Modal_split!I$3 * 0.01</f>
        <v>2.1928312658472313</v>
      </c>
      <c r="T51" s="207">
        <f>INDEX($A$44:$H$56,MATCH($L51,$B$44:$B$56,0),MATCH($M$43,$A$44:$H$44,0))*고양시_Modal_split!J$3 * 0.01</f>
        <v>24.010713572802057</v>
      </c>
      <c r="U51" s="207">
        <f>INDEX($A$44:$H$56,MATCH($L51,$B$44:$B$56,0),MATCH($M$43,$A$44:$H$44,0))*고양시_Modal_split!K$3 * 0.01</f>
        <v>0.1183182337687355</v>
      </c>
      <c r="V51" s="207">
        <f>INDEX($A$44:$H$56,MATCH($L51,$B$44:$B$56,0),MATCH($M$43,$A$44:$H$44,0))*고양시_Modal_split!L$3 * 0.01</f>
        <v>2.3821404398772081</v>
      </c>
      <c r="W51" s="207">
        <f>INDEX($A$44:$H$56,MATCH($L51,$B$44:$B$56,0),MATCH($M$43,$A$44:$H$44,0))*고양시_Modal_split!M$3 * 0.01</f>
        <v>0.18142129177872776</v>
      </c>
      <c r="X51" s="207">
        <f>INDEX($A$44:$H$56,MATCH($L51,$B$44:$B$56,0),MATCH($M$43,$A$44:$H$44,0))*고양시_Modal_split!N$3 * 0.01</f>
        <v>7.8878822512490329E-2</v>
      </c>
      <c r="Y51" s="207">
        <f>INDEX($A$44:$H$56,MATCH($L51,$B$44:$B$56,0),MATCH($M$43,$A$44:$H$44,0))*고양시_Modal_split!O$3 * 0.01</f>
        <v>0.14198188052248259</v>
      </c>
      <c r="Z51" s="214">
        <f>INDEX($A$44:$H$56,MATCH($L51,$B$44:$B$56,0),MATCH($M$43,$A$44:$H$44,0))*고양시_Modal_split!P$3 * 0.01</f>
        <v>78.878822512490331</v>
      </c>
      <c r="AA51" s="213">
        <f>INDEX($A$44:$H$56,MATCH($L51,$B$44:$B$56,0),MATCH($AA$43,$A$44:$H$44,0))*고양시_Modal_split!C$4 * 0.01</f>
        <v>186.71051066932705</v>
      </c>
      <c r="AB51" s="207">
        <f>INDEX($A$44:$H$56,MATCH($L51,$B$44:$B$56,0),MATCH($AA$43,$A$44:$H$44,0))*고양시_Modal_split!D$4 * 0.01</f>
        <v>196.70847822487903</v>
      </c>
      <c r="AC51" s="207">
        <f>INDEX($A$44:$H$56,MATCH($L51,$B$44:$B$56,0),MATCH($AA$43,$A$44:$H$44,0))*고양시_Modal_split!E$4 * 0.01</f>
        <v>47.659023255606812</v>
      </c>
      <c r="AD51" s="207">
        <f>INDEX($A$44:$H$56,MATCH($L51,$B$44:$B$56,0),MATCH($AA$43,$A$44:$H$44,0))*고양시_Modal_split!F$4 * 0.01</f>
        <v>5.8270363053830705</v>
      </c>
      <c r="AE51" s="207">
        <f>INDEX($A$44:$H$56,MATCH($L51,$B$44:$B$56,0),MATCH($AA$43,$A$44:$H$44,0))*고양시_Modal_split!G$4 * 0.01</f>
        <v>71.825889616879735</v>
      </c>
      <c r="AF51" s="207">
        <f>INDEX($A$44:$H$56,MATCH($L51,$B$44:$B$56,0),MATCH($AA$43,$A$44:$H$44,0))*고양시_Modal_split!H$4 * 0.01</f>
        <v>0</v>
      </c>
      <c r="AG51" s="207">
        <f>INDEX($A$44:$H$56,MATCH($L51,$B$44:$B$56,0),MATCH($AA$43,$A$44:$H$44,0))*고양시_Modal_split!I$4 * 0.01</f>
        <v>21.345354044982198</v>
      </c>
      <c r="AH51" s="207">
        <f>INDEX($A$44:$H$56,MATCH($L51,$B$44:$B$56,0),MATCH($AA$43,$A$44:$H$44,0))*고양시_Modal_split!J$4 * 0.01</f>
        <v>28.889832629846591</v>
      </c>
      <c r="AI51" s="207">
        <f>INDEX($A$44:$H$56,MATCH($L51,$B$44:$B$56,0),MATCH($AA$43,$A$44:$H$44,0))*고양시_Modal_split!K$4 * 0.01</f>
        <v>0</v>
      </c>
      <c r="AJ51" s="207">
        <f>INDEX($A$44:$H$56,MATCH($L51,$B$44:$B$56,0),MATCH($AA$43,$A$44:$H$44,0))*고양시_Modal_split!L$4 * 0.01</f>
        <v>28.337797611441886</v>
      </c>
      <c r="AK51" s="207">
        <f>INDEX($A$44:$H$56,MATCH($L51,$B$44:$B$56,0),MATCH($AA$43,$A$44:$H$44,0))*고양시_Modal_split!M$4 * 0.01</f>
        <v>4.1095940259017452</v>
      </c>
      <c r="AL51" s="207">
        <f>INDEX($A$44:$H$56,MATCH($L51,$B$44:$B$56,0),MATCH($AA$43,$A$44:$H$44,0))*고양시_Modal_split!N$4 * 0.01</f>
        <v>15.334306066797556</v>
      </c>
      <c r="AM51" s="207">
        <f>INDEX($A$44:$H$56,MATCH($L51,$B$44:$B$56,0),MATCH($AA$43,$A$44:$H$44,0))*고양시_Modal_split!O$4 * 0.01</f>
        <v>6.6244202208565444</v>
      </c>
      <c r="AN51" s="214">
        <f>INDEX($A$44:$H$56,MATCH($L51,$B$44:$B$56,0),MATCH($AA$43,$A$44:$H$44,0))*고양시_Modal_split!P$4 * 0.01</f>
        <v>613.3722426719022</v>
      </c>
      <c r="AO51" s="213">
        <f>INDEX($A$44:$H$56,MATCH($L51,$B$44:$B$56,0),MATCH($AO$43,$A$44:$H$44,0))*고양시_Modal_split!C$5 * 0.01</f>
        <v>1.6312764743002105E-2</v>
      </c>
      <c r="AP51" s="207">
        <f>INDEX($A$44:$H$56,MATCH($L51,$B$44:$B$56,0),MATCH($AO$43,$A$44:$H$44,0))*고양시_Modal_split!D$5 * 0.01</f>
        <v>19.923323339453241</v>
      </c>
      <c r="AQ51" s="207">
        <f>INDEX($A$44:$H$56,MATCH($L51,$B$44:$B$56,0),MATCH($AO$43,$A$44:$H$44,0))*고양시_Modal_split!E$5 * 0.01</f>
        <v>2.6780122119761791</v>
      </c>
      <c r="AR51" s="207">
        <f>INDEX($A$44:$H$56,MATCH($L51,$B$44:$B$56,0),MATCH($AO$43,$A$44:$H$44,0))*고양시_Modal_split!F$5 * 0.01</f>
        <v>0.57094676600507377</v>
      </c>
      <c r="AS51" s="207">
        <f>INDEX($A$44:$H$56,MATCH($L51,$B$44:$B$56,0),MATCH($AO$43,$A$44:$H$44,0))*고양시_Modal_split!G$5 * 0.01</f>
        <v>0.17672161804918951</v>
      </c>
      <c r="AT51" s="207">
        <f>INDEX($A$44:$H$56,MATCH($L51,$B$44:$B$56,0),MATCH($AO$43,$A$44:$H$44,0))*고양시_Modal_split!H$5 * 0.01</f>
        <v>1.9031558866835791E-2</v>
      </c>
      <c r="AU51" s="207">
        <f>INDEX($A$44:$H$56,MATCH($L51,$B$44:$B$56,0),MATCH($AO$43,$A$44:$H$44,0))*고양시_Modal_split!I$5 * 0.01</f>
        <v>0.75310597230193055</v>
      </c>
      <c r="AV51" s="207">
        <f>INDEX($A$44:$H$56,MATCH($L51,$B$44:$B$56,0),MATCH($AO$43,$A$44:$H$44,0))*고양시_Modal_split!J$5 * 0.01</f>
        <v>1.7046839156437201</v>
      </c>
      <c r="AW51" s="207">
        <f>INDEX($A$44:$H$56,MATCH($L51,$B$44:$B$56,0),MATCH($AO$43,$A$44:$H$44,0))*고양시_Modal_split!K$5 * 0.01</f>
        <v>5.4375882476673685E-3</v>
      </c>
      <c r="AX51" s="207">
        <f>INDEX($A$44:$H$56,MATCH($L51,$B$44:$B$56,0),MATCH($AO$43,$A$44:$H$44,0))*고양시_Modal_split!L$5 * 0.01</f>
        <v>0.69329250157758948</v>
      </c>
      <c r="AY51" s="207">
        <f>INDEX($A$44:$H$56,MATCH($L51,$B$44:$B$56,0),MATCH($AO$43,$A$44:$H$44,0))*고양시_Modal_split!M$5 * 0.01</f>
        <v>0.18215920629685686</v>
      </c>
      <c r="AZ51" s="207">
        <f>INDEX($A$44:$H$56,MATCH($L51,$B$44:$B$56,0),MATCH($AO$43,$A$44:$H$44,0))*고양시_Modal_split!N$5 * 0.01</f>
        <v>4.6219500105172624E-2</v>
      </c>
      <c r="BA51" s="207">
        <f>INDEX($A$44:$H$56,MATCH($L51,$B$44:$B$56,0),MATCH($AO$43,$A$44:$H$44,0))*고양시_Modal_split!O$5 * 0.01</f>
        <v>0.41869429507038741</v>
      </c>
      <c r="BB51" s="214">
        <f>INDEX($A$44:$H$56,MATCH($L51,$B$44:$B$56,0),MATCH($AO$43,$A$44:$H$44,0))*고양시_Modal_split!P$5 * 0.01</f>
        <v>27.18794123833684</v>
      </c>
      <c r="BC51" s="213">
        <f>INDEX($A$44:$H$56,MATCH($L51,$B$44:$B$56,0),MATCH($BC$43,$A$44:$H$44,0))*고양시_Modal_split!C$6 * 0.01</f>
        <v>0</v>
      </c>
      <c r="BD51" s="207">
        <f>INDEX($A$44:$H$56,MATCH($L51,$B$44:$B$56,0),MATCH($BC$43,$A$44:$H$44,0))*고양시_Modal_split!D$6 * 0.01</f>
        <v>6.1055821395164182E-2</v>
      </c>
      <c r="BE51" s="207">
        <f>INDEX($A$44:$H$56,MATCH($L51,$B$44:$B$56,0),MATCH($BC$43,$A$44:$H$44,0))*고양시_Modal_split!E$6 * 0.01</f>
        <v>3.1703904359281005E-4</v>
      </c>
      <c r="BF51" s="207">
        <f>INDEX($A$44:$H$56,MATCH($L51,$B$44:$B$56,0),MATCH($BC$43,$A$44:$H$44,0))*고양시_Modal_split!F$6 * 0.01</f>
        <v>8.9950612368192614E-4</v>
      </c>
      <c r="BG51" s="207">
        <f>INDEX($A$44:$H$56,MATCH($L51,$B$44:$B$56,0),MATCH($BC$43,$A$44:$H$44,0))*고양시_Modal_split!G$6 * 0.01</f>
        <v>0</v>
      </c>
      <c r="BH51" s="207">
        <f>INDEX($A$44:$H$56,MATCH($L51,$B$44:$B$56,0),MATCH($BC$43,$A$44:$H$44,0))*고양시_Modal_split!H$6 * 0.01</f>
        <v>3.9150635383205148E-3</v>
      </c>
      <c r="BI51" s="207">
        <f>INDEX($A$44:$H$56,MATCH($L51,$B$44:$B$56,0),MATCH($BC$43,$A$44:$H$44,0))*고양시_Modal_split!I$6 * 0.01</f>
        <v>2.6100423588803433E-3</v>
      </c>
      <c r="BJ51" s="207">
        <f>INDEX($A$44:$H$56,MATCH($L51,$B$44:$B$56,0),MATCH($BC$43,$A$44:$H$44,0))*고양시_Modal_split!J$6 * 0.01</f>
        <v>3.6422625008104221E-3</v>
      </c>
      <c r="BK51" s="207">
        <f>INDEX($A$44:$H$56,MATCH($L51,$B$44:$B$56,0),MATCH($BC$43,$A$44:$H$44,0))*고양시_Modal_split!K$6 * 0.01</f>
        <v>0</v>
      </c>
      <c r="BL51" s="207">
        <f>INDEX($A$44:$H$56,MATCH($L51,$B$44:$B$56,0),MATCH($BC$43,$A$44:$H$44,0))*고양시_Modal_split!L$6 * 0.01</f>
        <v>5.6034807704775729E-4</v>
      </c>
      <c r="BM51" s="207">
        <f>INDEX($A$44:$H$56,MATCH($L51,$B$44:$B$56,0),MATCH($BC$43,$A$44:$H$44,0))*고양시_Modal_split!M$6 * 0.01</f>
        <v>6.7094309225455156E-4</v>
      </c>
      <c r="BN51" s="207">
        <f>INDEX($A$44:$H$56,MATCH($L51,$B$44:$B$56,0),MATCH($BC$43,$A$44:$H$44,0))*고양시_Modal_split!N$6 * 0.01</f>
        <v>0</v>
      </c>
      <c r="BO51" s="207">
        <f>INDEX($A$44:$H$56,MATCH($L51,$B$44:$B$56,0),MATCH($BC$43,$A$44:$H$44,0))*고양시_Modal_split!O$6 * 0.01</f>
        <v>5.8984008110290241E-5</v>
      </c>
      <c r="BP51" s="214">
        <f>INDEX($A$44:$H$56,MATCH($L51,$B$44:$B$56,0),MATCH($BC$43,$A$44:$H$44,0))*고양시_Modal_split!P$6 * 0.01</f>
        <v>7.3730010137862803E-2</v>
      </c>
      <c r="BQ51" s="213">
        <f>INDEX($A$44:$H$56,MATCH($L51,$B$44:$B$56,0),MATCH($BQ$43,$A$44:$H$44,0))*고양시_Modal_split!C$7 * 0.01</f>
        <v>0</v>
      </c>
      <c r="BR51" s="207">
        <f>INDEX($A$44:$H$56,MATCH($L51,$B$44:$B$56,0),MATCH($BQ$43,$A$44:$H$44,0))*고양시_Modal_split!D$7 * 0.01</f>
        <v>0.12801495893536613</v>
      </c>
      <c r="BS51" s="207">
        <f>INDEX($A$44:$H$56,MATCH($L51,$B$44:$B$56,0),MATCH($BQ$43,$A$44:$H$44,0))*고양시_Modal_split!E$7 * 0.01</f>
        <v>6.2461606921792538E-3</v>
      </c>
      <c r="BT51" s="207">
        <f>INDEX($A$44:$H$56,MATCH($L51,$B$44:$B$56,0),MATCH($BQ$43,$A$44:$H$44,0))*고양시_Modal_split!F$7 * 0.01</f>
        <v>2.0890169539061051E-3</v>
      </c>
      <c r="BU51" s="207">
        <f>INDEX($A$44:$H$56,MATCH($L51,$B$44:$B$56,0),MATCH($BQ$43,$A$44:$H$44,0))*고양시_Modal_split!G$7 * 0.01</f>
        <v>8.7738712064056414E-4</v>
      </c>
      <c r="BV51" s="207">
        <f>INDEX($A$44:$H$56,MATCH($L51,$B$44:$B$56,0),MATCH($BQ$43,$A$44:$H$44,0))*고양시_Modal_split!H$7 * 0.01</f>
        <v>1.1677604772335129E-2</v>
      </c>
      <c r="BW51" s="207">
        <f>INDEX($A$44:$H$56,MATCH($L51,$B$44:$B$56,0),MATCH($BQ$43,$A$44:$H$44,0))*고양시_Modal_split!I$7 * 0.01</f>
        <v>3.9001946529426984E-2</v>
      </c>
      <c r="BX51" s="207">
        <f>INDEX($A$44:$H$56,MATCH($L51,$B$44:$B$56,0),MATCH($BQ$43,$A$44:$H$44,0))*고양시_Modal_split!J$7 * 0.01</f>
        <v>4.1780339078122103E-5</v>
      </c>
      <c r="BY51" s="207">
        <f>INDEX($A$44:$H$56,MATCH($L51,$B$44:$B$56,0),MATCH($BQ$43,$A$44:$H$44,0))*고양시_Modal_split!K$7 * 0.01</f>
        <v>1.6085430545077013E-2</v>
      </c>
      <c r="BZ51" s="207">
        <f>INDEX($A$44:$H$56,MATCH($L51,$B$44:$B$56,0),MATCH($BQ$43,$A$44:$H$44,0))*고양시_Modal_split!L$7 * 0.01</f>
        <v>1.4623118677342735E-4</v>
      </c>
      <c r="CA51" s="207">
        <f>INDEX($A$44:$H$56,MATCH($L51,$B$44:$B$56,0),MATCH($BQ$43,$A$44:$H$44,0))*고양시_Modal_split!M$7 * 0.01</f>
        <v>3.9064617038044166E-3</v>
      </c>
      <c r="CB51" s="207">
        <f>INDEX($A$44:$H$56,MATCH($L51,$B$44:$B$56,0),MATCH($BQ$43,$A$44:$H$44,0))*고양시_Modal_split!N$7 * 0.01</f>
        <v>8.1471661202338092E-4</v>
      </c>
      <c r="CC51" s="207">
        <f>INDEX($A$44:$H$56,MATCH($L51,$B$44:$B$56,0),MATCH($BQ$43,$A$44:$H$44,0))*고양시_Modal_split!O$7 * 0.01</f>
        <v>0</v>
      </c>
      <c r="CD51" s="214">
        <f>INDEX($A$44:$H$56,MATCH($L51,$B$44:$B$56,0),MATCH($BQ$43,$A$44:$H$44,0))*고양시_Modal_split!P$7 * 0.01</f>
        <v>0.20890169539061051</v>
      </c>
      <c r="CE51" s="218">
        <f t="shared" si="24"/>
        <v>186.94768413710503</v>
      </c>
      <c r="CF51" s="208">
        <f t="shared" si="7"/>
        <v>253.91758257228702</v>
      </c>
      <c r="CG51" s="208">
        <f t="shared" si="8"/>
        <v>54.831803668279463</v>
      </c>
      <c r="CH51" s="208">
        <f t="shared" si="9"/>
        <v>13.634159618861096</v>
      </c>
      <c r="CI51" s="208">
        <f t="shared" si="10"/>
        <v>72.729173789164477</v>
      </c>
      <c r="CJ51" s="208">
        <f t="shared" si="11"/>
        <v>4.2512109428740466E-2</v>
      </c>
      <c r="CK51" s="208">
        <f t="shared" si="12"/>
        <v>24.332903272019671</v>
      </c>
      <c r="CL51" s="208">
        <f t="shared" si="13"/>
        <v>54.608914161132255</v>
      </c>
      <c r="CM51" s="208">
        <f t="shared" si="14"/>
        <v>0.13984125256147989</v>
      </c>
      <c r="CN51" s="208">
        <f t="shared" si="15"/>
        <v>31.413937132160502</v>
      </c>
      <c r="CO51" s="208">
        <f t="shared" si="16"/>
        <v>4.4777519287733885</v>
      </c>
      <c r="CP51" s="208">
        <f t="shared" si="17"/>
        <v>15.460219106027241</v>
      </c>
      <c r="CQ51" s="208">
        <f t="shared" si="18"/>
        <v>7.185155380457525</v>
      </c>
      <c r="CR51" s="219">
        <f t="shared" si="19"/>
        <v>719.72163812825784</v>
      </c>
      <c r="CS51" s="225">
        <f t="shared" si="25"/>
        <v>0</v>
      </c>
      <c r="CV51" s="265" t="s">
        <v>433</v>
      </c>
      <c r="CW51" s="271" t="s">
        <v>484</v>
      </c>
      <c r="CX51" s="267">
        <f>INDEX($M$43:$Z$56,MATCH($CW51,$L$43:$L$56,0),MATCH(CX$44,$M$44:$Z$44,0))/INDEX(고양시_재차인원!$D$4:$H$35,MATCH("고양시",고양시_재차인원!$B$4:$B$35,0),MATCH('A.일산테크노밸리(859991)_수정'!$CX$43,고양시_재차인원!$D$4:$H$4,0))</f>
        <v>33.122062703235898</v>
      </c>
      <c r="CY51" s="267">
        <f>INDEX($M$43:$Z$56,MATCH($CW51,$L$43:$L$56,0),MATCH(CY$44,$M$44:$Z$44,0))/INDEX(고양시_재차인원!$K$4:$O$20,MATCH("경기도",고양시_재차인원!$K$4:$K$20,0),MATCH('A.일산테크노밸리(859991)_수정'!CY$44,고양시_재차인원!$K$4:$O$4,0))</f>
        <v>2.7397993231153292E-4</v>
      </c>
      <c r="CZ51" s="267">
        <f>INDEX($M$43:$Z$56,MATCH($CW51,$L$43:$L$56,0),MATCH(CZ$44,$M$44:$Z$44,0))/INDEX(고양시_재차인원!$K$4:$O$20,MATCH("경기도",고양시_재차인원!$K$4:$K$20,0),MATCH('A.일산테크노밸리(859991)_수정'!CZ$44,고양시_재차인원!$K$4:$O$4,0))</f>
        <v>7.6166421182606164E-2</v>
      </c>
      <c r="DA51" s="267">
        <f>INDEX($M$43:$Z$56,MATCH($CW51,$L$43:$L$56,0),MATCH(DA$44,$M$44:$Z$44,0))/INDEX(고양시_재차인원!$K$4:$O$20,MATCH("경기도",고양시_재차인원!$K$4:$K$20,0),MATCH('A.일산테크노밸리(859991)_수정'!DA$44,고양시_재차인원!$K$4:$O$4,0))</f>
        <v>1.5880936265848054</v>
      </c>
      <c r="DB51" s="268">
        <f>INDEX($AA$43:$AN$56,MATCH($CW51,$L$43:$L$56,0),MATCH(DB$44,$AA$44:$AN$44,0))/INDEX(고양시_재차인원!$D$4:$H$35,MATCH("고양시",고양시_재차인원!$B$4:$B$35,0),MATCH('A.일산테크노밸리(859991)_수정'!$DB$43,고양시_재차인원!$D$4:$H$4,0))</f>
        <v>139.50955902473692</v>
      </c>
      <c r="DC51" s="267">
        <f>INDEX($AA$43:$AN$56,MATCH($CW51,$L$43:$L$56,0),MATCH(DC$44,$AA$44:$AN$44,0))/INDEX(고양시_재차인원!$K$4:$O$20,MATCH("경기도",고양시_재차인원!$K$4:$K$20,0),MATCH('A.일산테크노밸리(859991)_수정'!DC$44,고양시_재차인원!$K$4:$O$4,0))</f>
        <v>0</v>
      </c>
      <c r="DD51" s="267">
        <f>INDEX($AA$43:$AN$56,MATCH($CW51,$L$43:$L$56,0),MATCH(DD$44,$AA$44:$AN$44,0))/INDEX(고양시_재차인원!$K$4:$O$20,MATCH("경기도",고양시_재차인원!$K$4:$K$20,0),MATCH('A.일산테크노밸리(859991)_수정'!DD$44,고양시_재차인원!$K$4:$O$4,0))</f>
        <v>0.74141556252109064</v>
      </c>
      <c r="DE51" s="267">
        <f>INDEX($AA$43:$AN$56,MATCH($CW51,$L$43:$L$56,0),MATCH(DE$44,$AA$44:$AN$44,0))/INDEX(고양시_재차인원!$K$4:$O$20,MATCH("경기도",고양시_재차인원!$K$4:$K$20,0),MATCH('A.일산테크노밸리(859991)_수정'!DE$44,고양시_재차인원!$K$4:$O$4,0))</f>
        <v>18.891865074294589</v>
      </c>
      <c r="DF51" s="268">
        <f>INDEX($AO$43:$BB$56,MATCH($CW51,$L$43:$L$56,0),MATCH(DF$44,$AO$44:$BB$44,0))/INDEX(고양시_재차인원!$D$4:$H$35,MATCH("고양시",고양시_재차인원!$B$4:$B$35,0),MATCH('A.일산테크노밸리(859991)_수정'!$DF$43,고양시_재차인원!$D$4:$H$4,0))</f>
        <v>15.325633338040953</v>
      </c>
      <c r="DG51" s="267">
        <f>INDEX($AO$43:$BB$56,MATCH($CW51,$L$43:$L$56,0),MATCH(DG$44,$AO$44:$BB$44,0))/INDEX(고양시_재차인원!$K$4:$O$20,MATCH("경기도",고양시_재차인원!$K$4:$K$20,0),MATCH('A.일산테크노밸리(859991)_수정'!DG$44,고양시_재차인원!$K$4:$O$4,0))</f>
        <v>6.6104754660770376E-4</v>
      </c>
      <c r="DH51" s="267">
        <f>INDEX($AO$43:$BB$56,MATCH($CW51,$L$43:$L$56,0),MATCH(DH$44,$AO$44:$BB$44,0))/INDEX(고양시_재차인원!$K$4:$O$20,MATCH("경기도",고양시_재차인원!$K$4:$K$20,0),MATCH('A.일산테크노밸리(859991)_수정'!DH$44,고양시_재차인원!$K$4:$O$4,0))</f>
        <v>2.6158595772904848E-2</v>
      </c>
      <c r="DI51" s="267">
        <f>INDEX($AO$43:$BB$56,MATCH($CW51,$L$43:$L$56,0),MATCH(DI$44,$AO$44:$BB$44,0))/INDEX(고양시_재차인원!$K$4:$O$20,MATCH("경기도",고양시_재차인원!$K$4:$K$20,0),MATCH('A.일산테크노밸리(859991)_수정'!DI$44,고양시_재차인원!$K$4:$O$4,0))</f>
        <v>0.46219500105172634</v>
      </c>
      <c r="DJ51" s="268">
        <f>INDEX($BC$43:$BP$56,MATCH($CW51,$L$43:$L$56,0),MATCH(DJ$44,$BC$44:$BP$44,0))/INDEX(고양시_재차인원!$D$4:$H$35,MATCH("고양시",고양시_재차인원!$B$4:$B$35,0),MATCH('A.일산테크노밸리(859991)_수정'!$DJ$43,고양시_재차인원!$D$4:$H$4,0))</f>
        <v>4.4893986319973662E-2</v>
      </c>
      <c r="DK51" s="267">
        <f>INDEX($BC$43:$BP$56,MATCH($CW51,$L$43:$L$56,0),MATCH(DK$44,$BC$44:$BP$44,0))/INDEX(고양시_재차인원!$K$4:$O$20,MATCH("경기도",고양시_재차인원!$K$4:$K$20,0),MATCH('A.일산테크노밸리(859991)_수정'!DK$44,고양시_재차인원!$K$4:$O$4,0))</f>
        <v>1.3598692387358511E-4</v>
      </c>
      <c r="DL51" s="267">
        <f>INDEX($BC$43:$BP$56,MATCH($CW51,$L$43:$L$56,0),MATCH(DL$44,$BC$44:$BP$44,0))/INDEX(고양시_재차인원!$K$4:$O$20,MATCH("경기도",고양시_재차인원!$K$4:$K$20,0),MATCH('A.일산테크노밸리(859991)_수정'!DL$44,고양시_재차인원!$K$4:$O$4,0))</f>
        <v>9.0657949249056742E-5</v>
      </c>
      <c r="DM51" s="267">
        <f>INDEX($BC$43:$BP$56,MATCH($CW51,$L$43:$L$56,0),MATCH(DM$44,$BC$44:$BP$44,0))/INDEX(고양시_재차인원!$K$4:$O$20,MATCH("경기도",고양시_재차인원!$K$4:$K$20,0),MATCH('A.일산테크노밸리(859991)_수정'!DM$44,고양시_재차인원!$K$4:$O$4,0))</f>
        <v>3.7356538469850484E-4</v>
      </c>
      <c r="DN51" s="268">
        <f>INDEX($BQ$43:$CD$56,MATCH($CW51,$L$43:$L$56,0),MATCH(DN$44,$BQ$44:$CD$44,0))/INDEX(고양시_재차인원!$D$4:$H$35,MATCH("고양시",고양시_재차인원!$B$4:$B$35,0),MATCH('A.일산테크노밸리(859991)_수정'!$DN$43,고양시_재차인원!$D$4:$H$4,0))</f>
        <v>0.10159917375822709</v>
      </c>
      <c r="DO51" s="267">
        <f>INDEX($BQ$43:$CD$56,MATCH($CW51,$L$43:$L$56,0),MATCH(DO$44,$BQ$44:$CD$44,0))/INDEX(고양시_재차인원!$K$4:$O$20,MATCH("경기도",고양시_재차인원!$K$4:$K$20,0),MATCH('A.일산테크노밸리(859991)_수정'!DO$44,고양시_재차인원!$K$4:$O$4,0))</f>
        <v>4.0561322585394685E-4</v>
      </c>
      <c r="DP51" s="267">
        <f>INDEX($BQ$43:$CD$56,MATCH($CW51,$L$43:$L$56,0),MATCH(DP$44,$BQ$44:$CD$44,0))/INDEX(고양시_재차인원!$K$4:$O$20,MATCH("경기도",고양시_재차인원!$K$4:$K$20,0),MATCH('A.일산테크노밸리(859991)_수정'!DP$44,고양시_재차인원!$K$4:$O$4,0))</f>
        <v>1.3547046380488707E-3</v>
      </c>
      <c r="DQ51" s="267">
        <f>INDEX($BQ$43:$CD$56,MATCH($CW51,$L$43:$L$56,0),MATCH(DQ$44,$BQ$44:$CD$44,0))/INDEX(고양시_재차인원!$K$4:$O$20,MATCH("경기도",고양시_재차인원!$K$4:$K$20,0),MATCH('A.일산테크노밸리(859991)_수정'!DQ$44,고양시_재차인원!$K$4:$O$4,0))</f>
        <v>9.7487457848951565E-5</v>
      </c>
      <c r="DR51" s="269">
        <f t="shared" si="26"/>
        <v>188.10374822609194</v>
      </c>
      <c r="DS51" s="270">
        <f t="shared" si="20"/>
        <v>1.4766276286467686E-3</v>
      </c>
      <c r="DT51" s="270">
        <f t="shared" si="21"/>
        <v>0.84518594206389952</v>
      </c>
      <c r="DU51" s="270">
        <f t="shared" si="22"/>
        <v>20.942624754773668</v>
      </c>
      <c r="DW51" s="278"/>
      <c r="DX51" s="278" t="s">
        <v>596</v>
      </c>
      <c r="DY51" s="281">
        <f>SUM(DR51:DR53)+SUM(DU51:DU53)</f>
        <v>904.99221267847122</v>
      </c>
      <c r="DZ51" s="281">
        <f>SUM(DS51:DS53)+SUM(DT51:DT53)</f>
        <v>3.6653256471865765</v>
      </c>
      <c r="EC51" s="412" t="s">
        <v>15</v>
      </c>
      <c r="ED51" s="412" t="s">
        <v>571</v>
      </c>
      <c r="EE51" s="412">
        <v>10713.892900000001</v>
      </c>
      <c r="EF51" s="412">
        <v>4.9759499124587728E-2</v>
      </c>
      <c r="EG51" s="413">
        <v>859007</v>
      </c>
      <c r="EH51" s="414">
        <f t="shared" si="29"/>
        <v>368.25715112283427</v>
      </c>
      <c r="EI51" s="415">
        <f t="shared" si="30"/>
        <v>1.4914850778389435</v>
      </c>
      <c r="EJ51" s="402">
        <v>0</v>
      </c>
      <c r="EM51" s="278" t="s">
        <v>15</v>
      </c>
      <c r="EN51" s="278" t="s">
        <v>571</v>
      </c>
      <c r="EO51" s="278">
        <v>10713.892900000001</v>
      </c>
      <c r="EP51" s="278">
        <v>4.9759499124587728E-2</v>
      </c>
      <c r="EQ51" s="289">
        <v>859007</v>
      </c>
      <c r="ER51" s="290">
        <f t="shared" si="31"/>
        <v>368.25715112283427</v>
      </c>
      <c r="ES51" s="291">
        <f t="shared" si="23"/>
        <v>1.4914850778389435</v>
      </c>
      <c r="ET51" s="402">
        <v>0</v>
      </c>
      <c r="EV51" s="34"/>
      <c r="EW51" s="34"/>
      <c r="EX51" s="34"/>
      <c r="EY51" s="34"/>
      <c r="EZ51" s="378"/>
      <c r="FA51" s="401"/>
      <c r="FB51" s="402"/>
      <c r="FC51" s="402"/>
    </row>
    <row r="52" spans="1:159" ht="27" customHeight="1">
      <c r="A52" s="205" t="s">
        <v>491</v>
      </c>
      <c r="B52" s="203" t="s">
        <v>486</v>
      </c>
      <c r="C52" s="400">
        <f>'A.일산테크노밸리(859991)_수정'!$P35*KTDB_TripDistribution_2045!L$12 * (1 + KTDB_발생량도착량_증가율!$D$7*5) * (1 + KTDB_발생량도착량_증가율!$E$7*5) * (1 + KTDB_발생량도착량_증가율!$F$7*5) * (1 + KTDB_발생량도착량_증가율!$G$7*5)</f>
        <v>60.645526856336772</v>
      </c>
      <c r="D52" s="400">
        <f>'A.일산테크노밸리(859991)_수정'!$P35*KTDB_TripDistribution_2045!M$12 * (1 + KTDB_발생량도착량_증가율!$D$7*5) * (1 + KTDB_발생량도착량_증가율!$E$7*5) * (1 + KTDB_발생량도착량_증가율!$F$7*5) * (1 + KTDB_발생량도착량_증가율!$G$7*5)</f>
        <v>471.5877041648294</v>
      </c>
      <c r="E52" s="400">
        <f>'A.일산테크노밸리(859991)_수정'!$P35*KTDB_TripDistribution_2045!N$12 * (1 + KTDB_발생량도착량_증가율!$D$7*5) * (1 + KTDB_발생량도착량_증가율!$E$7*5) * (1 + KTDB_발생량도착량_증가율!$F$7*5) * (1 + KTDB_발생량도착량_증가율!$G$7*5)</f>
        <v>20.903291504851943</v>
      </c>
      <c r="F52" s="400">
        <f>'A.일산테크노밸리(859991)_수정'!$P35*KTDB_TripDistribution_2045!O$12 * (1 + KTDB_발생량도착량_증가율!$D$7*5) * (1 + KTDB_발생량도착량_증가율!$E$7*5) * (1 + KTDB_발생량도착량_증가율!$F$7*5) * (1 + KTDB_발생량도착량_증가율!$G$7*5)</f>
        <v>5.6686892216547782E-2</v>
      </c>
      <c r="G52" s="400">
        <f>'A.일산테크노밸리(859991)_수정'!$P35*KTDB_TripDistribution_2045!P$12 * (1 + KTDB_발생량도착량_증가율!$D$7*5) * (1 + KTDB_발생량도착량_증가율!$E$7*5) * (1 + KTDB_발생량도착량_증가율!$F$7*5) * (1 + KTDB_발생량도착량_증가율!$G$7*5)</f>
        <v>0.16061286128021815</v>
      </c>
      <c r="H52" s="400">
        <f>'A.일산테크노밸리(859991)_수정'!$P35*KTDB_TripDistribution_2045!Q$12 * (1 + KTDB_발생량도착량_증가율!$D$7*5) * (1 + KTDB_발생량도착량_증가율!$E$7*5) * (1 + KTDB_발생량도착량_증가율!$F$7*5) * (1 + KTDB_발생량도착량_증가율!$G$7*5)</f>
        <v>553.35382227951504</v>
      </c>
      <c r="J52" s="230">
        <f t="shared" si="6"/>
        <v>553.35382227951493</v>
      </c>
      <c r="K52" s="206"/>
      <c r="L52" s="210" t="s">
        <v>486</v>
      </c>
      <c r="M52" s="213">
        <f>INDEX($A$44:$H$56,MATCH($L52,$B$44:$B$56,0),MATCH($M$43,$A$44:$H$44,0))*고양시_Modal_split!C$3 * 0.01</f>
        <v>0.16980747519774295</v>
      </c>
      <c r="N52" s="207">
        <f>INDEX($A$44:$H$56,MATCH($L52,$B$44:$B$56,0),MATCH($M$43,$A$44:$H$44,0))*고양시_Modal_split!D$3 * 0.01</f>
        <v>28.521591280535187</v>
      </c>
      <c r="O52" s="207">
        <f>INDEX($A$44:$H$56,MATCH($L52,$B$44:$B$56,0),MATCH($M$43,$A$44:$H$44,0))*고양시_Modal_split!E$3 * 0.01</f>
        <v>3.4507304781255619</v>
      </c>
      <c r="P52" s="207">
        <f>INDEX($A$44:$H$56,MATCH($L52,$B$44:$B$56,0),MATCH($M$43,$A$44:$H$44,0))*고양시_Modal_split!F$3 * 0.01</f>
        <v>5.5611948127260824</v>
      </c>
      <c r="Q52" s="207">
        <f>INDEX($A$44:$H$56,MATCH($L52,$B$44:$B$56,0),MATCH($M$43,$A$44:$H$44,0))*고양시_Modal_split!G$3 * 0.01</f>
        <v>0.55793884707829822</v>
      </c>
      <c r="R52" s="207">
        <f>INDEX($A$44:$H$56,MATCH($L52,$B$44:$B$56,0),MATCH($M$43,$A$44:$H$44,0))*고양시_Modal_split!H$3 * 0.01</f>
        <v>6.0645526856336774E-3</v>
      </c>
      <c r="S52" s="207">
        <f>INDEX($A$44:$H$56,MATCH($L52,$B$44:$B$56,0),MATCH($M$43,$A$44:$H$44,0))*고양시_Modal_split!I$3 * 0.01</f>
        <v>1.6859456466061622</v>
      </c>
      <c r="T52" s="207">
        <f>INDEX($A$44:$H$56,MATCH($L52,$B$44:$B$56,0),MATCH($M$43,$A$44:$H$44,0))*고양시_Modal_split!J$3 * 0.01</f>
        <v>18.460498375068916</v>
      </c>
      <c r="U52" s="207">
        <f>INDEX($A$44:$H$56,MATCH($L52,$B$44:$B$56,0),MATCH($M$43,$A$44:$H$44,0))*고양시_Modal_split!K$3 * 0.01</f>
        <v>9.0968290284505163E-2</v>
      </c>
      <c r="V52" s="207">
        <f>INDEX($A$44:$H$56,MATCH($L52,$B$44:$B$56,0),MATCH($M$43,$A$44:$H$44,0))*고양시_Modal_split!L$3 * 0.01</f>
        <v>1.8314949110613705</v>
      </c>
      <c r="W52" s="207">
        <f>INDEX($A$44:$H$56,MATCH($L52,$B$44:$B$56,0),MATCH($M$43,$A$44:$H$44,0))*고양시_Modal_split!M$3 * 0.01</f>
        <v>0.13948471176957455</v>
      </c>
      <c r="X52" s="207">
        <f>INDEX($A$44:$H$56,MATCH($L52,$B$44:$B$56,0),MATCH($M$43,$A$44:$H$44,0))*고양시_Modal_split!N$3 * 0.01</f>
        <v>6.0645526856336777E-2</v>
      </c>
      <c r="Y52" s="207">
        <f>INDEX($A$44:$H$56,MATCH($L52,$B$44:$B$56,0),MATCH($M$43,$A$44:$H$44,0))*고양시_Modal_split!O$3 * 0.01</f>
        <v>0.10916194834140619</v>
      </c>
      <c r="Z52" s="214">
        <f>INDEX($A$44:$H$56,MATCH($L52,$B$44:$B$56,0),MATCH($M$43,$A$44:$H$44,0))*고양시_Modal_split!P$3 * 0.01</f>
        <v>60.645526856336772</v>
      </c>
      <c r="AA52" s="213">
        <f>INDEX($A$44:$H$56,MATCH($L52,$B$44:$B$56,0),MATCH($AA$43,$A$44:$H$44,0))*고양시_Modal_split!C$4 * 0.01</f>
        <v>143.55129714777408</v>
      </c>
      <c r="AB52" s="207">
        <f>INDEX($A$44:$H$56,MATCH($L52,$B$44:$B$56,0),MATCH($AA$43,$A$44:$H$44,0))*고양시_Modal_split!D$4 * 0.01</f>
        <v>151.23817672566079</v>
      </c>
      <c r="AC52" s="207">
        <f>INDEX($A$44:$H$56,MATCH($L52,$B$44:$B$56,0),MATCH($AA$43,$A$44:$H$44,0))*고양시_Modal_split!E$4 * 0.01</f>
        <v>36.642364613607249</v>
      </c>
      <c r="AD52" s="207">
        <f>INDEX($A$44:$H$56,MATCH($L52,$B$44:$B$56,0),MATCH($AA$43,$A$44:$H$44,0))*고양시_Modal_split!F$4 * 0.01</f>
        <v>4.480083189565879</v>
      </c>
      <c r="AE52" s="207">
        <f>INDEX($A$44:$H$56,MATCH($L52,$B$44:$B$56,0),MATCH($AA$43,$A$44:$H$44,0))*고양시_Modal_split!G$4 * 0.01</f>
        <v>55.222920157701523</v>
      </c>
      <c r="AF52" s="207">
        <f>INDEX($A$44:$H$56,MATCH($L52,$B$44:$B$56,0),MATCH($AA$43,$A$44:$H$44,0))*고양시_Modal_split!H$4 * 0.01</f>
        <v>0</v>
      </c>
      <c r="AG52" s="207">
        <f>INDEX($A$44:$H$56,MATCH($L52,$B$44:$B$56,0),MATCH($AA$43,$A$44:$H$44,0))*고양시_Modal_split!I$4 * 0.01</f>
        <v>16.411252104936061</v>
      </c>
      <c r="AH52" s="207">
        <f>INDEX($A$44:$H$56,MATCH($L52,$B$44:$B$56,0),MATCH($AA$43,$A$44:$H$44,0))*고양시_Modal_split!J$4 * 0.01</f>
        <v>22.211780866163462</v>
      </c>
      <c r="AI52" s="207">
        <f>INDEX($A$44:$H$56,MATCH($L52,$B$44:$B$56,0),MATCH($AA$43,$A$44:$H$44,0))*고양시_Modal_split!K$4 * 0.01</f>
        <v>0</v>
      </c>
      <c r="AJ52" s="207">
        <f>INDEX($A$44:$H$56,MATCH($L52,$B$44:$B$56,0),MATCH($AA$43,$A$44:$H$44,0))*고양시_Modal_split!L$4 * 0.01</f>
        <v>21.787351932415117</v>
      </c>
      <c r="AK52" s="207">
        <f>INDEX($A$44:$H$56,MATCH($L52,$B$44:$B$56,0),MATCH($AA$43,$A$44:$H$44,0))*고양시_Modal_split!M$4 * 0.01</f>
        <v>3.1596376179043575</v>
      </c>
      <c r="AL52" s="207">
        <f>INDEX($A$44:$H$56,MATCH($L52,$B$44:$B$56,0),MATCH($AA$43,$A$44:$H$44,0))*고양시_Modal_split!N$4 * 0.01</f>
        <v>11.789692604120734</v>
      </c>
      <c r="AM52" s="207">
        <f>INDEX($A$44:$H$56,MATCH($L52,$B$44:$B$56,0),MATCH($AA$43,$A$44:$H$44,0))*고양시_Modal_split!O$4 * 0.01</f>
        <v>5.0931472049801583</v>
      </c>
      <c r="AN52" s="214">
        <f>INDEX($A$44:$H$56,MATCH($L52,$B$44:$B$56,0),MATCH($AA$43,$A$44:$H$44,0))*고양시_Modal_split!P$4 * 0.01</f>
        <v>471.5877041648294</v>
      </c>
      <c r="AO52" s="213">
        <f>INDEX($A$44:$H$56,MATCH($L52,$B$44:$B$56,0),MATCH($AO$43,$A$44:$H$44,0))*고양시_Modal_split!C$5 * 0.01</f>
        <v>1.2541974902911167E-2</v>
      </c>
      <c r="AP52" s="207">
        <f>INDEX($A$44:$H$56,MATCH($L52,$B$44:$B$56,0),MATCH($AO$43,$A$44:$H$44,0))*고양시_Modal_split!D$5 * 0.01</f>
        <v>15.317932014755504</v>
      </c>
      <c r="AQ52" s="207">
        <f>INDEX($A$44:$H$56,MATCH($L52,$B$44:$B$56,0),MATCH($AO$43,$A$44:$H$44,0))*고양시_Modal_split!E$5 * 0.01</f>
        <v>2.0589742132279163</v>
      </c>
      <c r="AR52" s="207">
        <f>INDEX($A$44:$H$56,MATCH($L52,$B$44:$B$56,0),MATCH($AO$43,$A$44:$H$44,0))*고양시_Modal_split!F$5 * 0.01</f>
        <v>0.43896912160189083</v>
      </c>
      <c r="AS52" s="207">
        <f>INDEX($A$44:$H$56,MATCH($L52,$B$44:$B$56,0),MATCH($AO$43,$A$44:$H$44,0))*고양시_Modal_split!G$5 * 0.01</f>
        <v>0.13587139478153762</v>
      </c>
      <c r="AT52" s="207">
        <f>INDEX($A$44:$H$56,MATCH($L52,$B$44:$B$56,0),MATCH($AO$43,$A$44:$H$44,0))*고양시_Modal_split!H$5 * 0.01</f>
        <v>1.4632304053396359E-2</v>
      </c>
      <c r="AU52" s="207">
        <f>INDEX($A$44:$H$56,MATCH($L52,$B$44:$B$56,0),MATCH($AO$43,$A$44:$H$44,0))*고양시_Modal_split!I$5 * 0.01</f>
        <v>0.57902117468439884</v>
      </c>
      <c r="AV52" s="207">
        <f>INDEX($A$44:$H$56,MATCH($L52,$B$44:$B$56,0),MATCH($AO$43,$A$44:$H$44,0))*고양시_Modal_split!J$5 * 0.01</f>
        <v>1.3106363773542169</v>
      </c>
      <c r="AW52" s="207">
        <f>INDEX($A$44:$H$56,MATCH($L52,$B$44:$B$56,0),MATCH($AO$43,$A$44:$H$44,0))*고양시_Modal_split!K$5 * 0.01</f>
        <v>4.1806583009703887E-3</v>
      </c>
      <c r="AX52" s="207">
        <f>INDEX($A$44:$H$56,MATCH($L52,$B$44:$B$56,0),MATCH($AO$43,$A$44:$H$44,0))*고양시_Modal_split!L$5 * 0.01</f>
        <v>0.53303393337372451</v>
      </c>
      <c r="AY52" s="207">
        <f>INDEX($A$44:$H$56,MATCH($L52,$B$44:$B$56,0),MATCH($AO$43,$A$44:$H$44,0))*고양시_Modal_split!M$5 * 0.01</f>
        <v>0.14005205308250804</v>
      </c>
      <c r="AZ52" s="207">
        <f>INDEX($A$44:$H$56,MATCH($L52,$B$44:$B$56,0),MATCH($AO$43,$A$44:$H$44,0))*고양시_Modal_split!N$5 * 0.01</f>
        <v>3.5535595558248305E-2</v>
      </c>
      <c r="BA52" s="207">
        <f>INDEX($A$44:$H$56,MATCH($L52,$B$44:$B$56,0),MATCH($AO$43,$A$44:$H$44,0))*고양시_Modal_split!O$5 * 0.01</f>
        <v>0.32191068917471993</v>
      </c>
      <c r="BB52" s="214">
        <f>INDEX($A$44:$H$56,MATCH($L52,$B$44:$B$56,0),MATCH($AO$43,$A$44:$H$44,0))*고양시_Modal_split!P$5 * 0.01</f>
        <v>20.903291504851943</v>
      </c>
      <c r="BC52" s="213">
        <f>INDEX($A$44:$H$56,MATCH($L52,$B$44:$B$56,0),MATCH($BC$43,$A$44:$H$44,0))*고양시_Modal_split!C$6 * 0.01</f>
        <v>0</v>
      </c>
      <c r="BD52" s="207">
        <f>INDEX($A$44:$H$56,MATCH($L52,$B$44:$B$56,0),MATCH($BC$43,$A$44:$H$44,0))*고양시_Modal_split!D$6 * 0.01</f>
        <v>4.6942415444523211E-2</v>
      </c>
      <c r="BE52" s="207">
        <f>INDEX($A$44:$H$56,MATCH($L52,$B$44:$B$56,0),MATCH($BC$43,$A$44:$H$44,0))*고양시_Modal_split!E$6 * 0.01</f>
        <v>2.4375363653115546E-4</v>
      </c>
      <c r="BF52" s="207">
        <f>INDEX($A$44:$H$56,MATCH($L52,$B$44:$B$56,0),MATCH($BC$43,$A$44:$H$44,0))*고양시_Modal_split!F$6 * 0.01</f>
        <v>6.9158008504188295E-4</v>
      </c>
      <c r="BG52" s="207">
        <f>INDEX($A$44:$H$56,MATCH($L52,$B$44:$B$56,0),MATCH($BC$43,$A$44:$H$44,0))*고양시_Modal_split!G$6 * 0.01</f>
        <v>0</v>
      </c>
      <c r="BH52" s="207">
        <f>INDEX($A$44:$H$56,MATCH($L52,$B$44:$B$56,0),MATCH($BC$43,$A$44:$H$44,0))*고양시_Modal_split!H$6 * 0.01</f>
        <v>3.0100739766986875E-3</v>
      </c>
      <c r="BI52" s="207">
        <f>INDEX($A$44:$H$56,MATCH($L52,$B$44:$B$56,0),MATCH($BC$43,$A$44:$H$44,0))*고양시_Modal_split!I$6 * 0.01</f>
        <v>2.0067159844657915E-3</v>
      </c>
      <c r="BJ52" s="207">
        <f>INDEX($A$44:$H$56,MATCH($L52,$B$44:$B$56,0),MATCH($BC$43,$A$44:$H$44,0))*고양시_Modal_split!J$6 * 0.01</f>
        <v>2.80033247549746E-3</v>
      </c>
      <c r="BK52" s="207">
        <f>INDEX($A$44:$H$56,MATCH($L52,$B$44:$B$56,0),MATCH($BC$43,$A$44:$H$44,0))*고양시_Modal_split!K$6 * 0.01</f>
        <v>0</v>
      </c>
      <c r="BL52" s="207">
        <f>INDEX($A$44:$H$56,MATCH($L52,$B$44:$B$56,0),MATCH($BC$43,$A$44:$H$44,0))*고양시_Modal_split!L$6 * 0.01</f>
        <v>4.3082038084576313E-4</v>
      </c>
      <c r="BM52" s="207">
        <f>INDEX($A$44:$H$56,MATCH($L52,$B$44:$B$56,0),MATCH($BC$43,$A$44:$H$44,0))*고양시_Modal_split!M$6 * 0.01</f>
        <v>5.1585071917058484E-4</v>
      </c>
      <c r="BN52" s="207">
        <f>INDEX($A$44:$H$56,MATCH($L52,$B$44:$B$56,0),MATCH($BC$43,$A$44:$H$44,0))*고양시_Modal_split!N$6 * 0.01</f>
        <v>0</v>
      </c>
      <c r="BO52" s="207">
        <f>INDEX($A$44:$H$56,MATCH($L52,$B$44:$B$56,0),MATCH($BC$43,$A$44:$H$44,0))*고양시_Modal_split!O$6 * 0.01</f>
        <v>4.534951377323823E-5</v>
      </c>
      <c r="BP52" s="214">
        <f>INDEX($A$44:$H$56,MATCH($L52,$B$44:$B$56,0),MATCH($BC$43,$A$44:$H$44,0))*고양시_Modal_split!P$6 * 0.01</f>
        <v>5.6686892216547789E-2</v>
      </c>
      <c r="BQ52" s="213">
        <f>INDEX($A$44:$H$56,MATCH($L52,$B$44:$B$56,0),MATCH($BQ$43,$A$44:$H$44,0))*고양시_Modal_split!C$7 * 0.01</f>
        <v>0</v>
      </c>
      <c r="BR52" s="207">
        <f>INDEX($A$44:$H$56,MATCH($L52,$B$44:$B$56,0),MATCH($BQ$43,$A$44:$H$44,0))*고양시_Modal_split!D$7 * 0.01</f>
        <v>9.8423561392517678E-2</v>
      </c>
      <c r="BS52" s="207">
        <f>INDEX($A$44:$H$56,MATCH($L52,$B$44:$B$56,0),MATCH($BQ$43,$A$44:$H$44,0))*고양시_Modal_split!E$7 * 0.01</f>
        <v>4.8023245522785226E-3</v>
      </c>
      <c r="BT52" s="207">
        <f>INDEX($A$44:$H$56,MATCH($L52,$B$44:$B$56,0),MATCH($BQ$43,$A$44:$H$44,0))*고양시_Modal_split!F$7 * 0.01</f>
        <v>1.6061286128021815E-3</v>
      </c>
      <c r="BU52" s="207">
        <f>INDEX($A$44:$H$56,MATCH($L52,$B$44:$B$56,0),MATCH($BQ$43,$A$44:$H$44,0))*고양시_Modal_split!G$7 * 0.01</f>
        <v>6.7457401737691615E-4</v>
      </c>
      <c r="BV52" s="207">
        <f>INDEX($A$44:$H$56,MATCH($L52,$B$44:$B$56,0),MATCH($BQ$43,$A$44:$H$44,0))*고양시_Modal_split!H$7 * 0.01</f>
        <v>8.9782589455641958E-3</v>
      </c>
      <c r="BW52" s="207">
        <f>INDEX($A$44:$H$56,MATCH($L52,$B$44:$B$56,0),MATCH($BQ$43,$A$44:$H$44,0))*고양시_Modal_split!I$7 * 0.01</f>
        <v>2.9986421201016734E-2</v>
      </c>
      <c r="BX52" s="207">
        <f>INDEX($A$44:$H$56,MATCH($L52,$B$44:$B$56,0),MATCH($BQ$43,$A$44:$H$44,0))*고양시_Modal_split!J$7 * 0.01</f>
        <v>3.2122572256043633E-5</v>
      </c>
      <c r="BY52" s="207">
        <f>INDEX($A$44:$H$56,MATCH($L52,$B$44:$B$56,0),MATCH($BQ$43,$A$44:$H$44,0))*고양시_Modal_split!K$7 * 0.01</f>
        <v>1.2367190318576797E-2</v>
      </c>
      <c r="BZ52" s="207">
        <f>INDEX($A$44:$H$56,MATCH($L52,$B$44:$B$56,0),MATCH($BQ$43,$A$44:$H$44,0))*고양시_Modal_split!L$7 * 0.01</f>
        <v>1.124290028961527E-4</v>
      </c>
      <c r="CA52" s="207">
        <f>INDEX($A$44:$H$56,MATCH($L52,$B$44:$B$56,0),MATCH($BQ$43,$A$44:$H$44,0))*고양시_Modal_split!M$7 * 0.01</f>
        <v>3.0034605059400801E-3</v>
      </c>
      <c r="CB52" s="207">
        <f>INDEX($A$44:$H$56,MATCH($L52,$B$44:$B$56,0),MATCH($BQ$43,$A$44:$H$44,0))*고양시_Modal_split!N$7 * 0.01</f>
        <v>6.2639015899285068E-4</v>
      </c>
      <c r="CC52" s="207">
        <f>INDEX($A$44:$H$56,MATCH($L52,$B$44:$B$56,0),MATCH($BQ$43,$A$44:$H$44,0))*고양시_Modal_split!O$7 * 0.01</f>
        <v>0</v>
      </c>
      <c r="CD52" s="214">
        <f>INDEX($A$44:$H$56,MATCH($L52,$B$44:$B$56,0),MATCH($BQ$43,$A$44:$H$44,0))*고양시_Modal_split!P$7 * 0.01</f>
        <v>0.16061286128021818</v>
      </c>
      <c r="CE52" s="218">
        <f t="shared" si="24"/>
        <v>143.73364659787472</v>
      </c>
      <c r="CF52" s="208">
        <f t="shared" si="7"/>
        <v>195.22306599778852</v>
      </c>
      <c r="CG52" s="208">
        <f t="shared" si="8"/>
        <v>42.157115383149545</v>
      </c>
      <c r="CH52" s="208">
        <f t="shared" si="9"/>
        <v>10.482544832591696</v>
      </c>
      <c r="CI52" s="208">
        <f t="shared" si="10"/>
        <v>55.917404973578734</v>
      </c>
      <c r="CJ52" s="208">
        <f t="shared" si="11"/>
        <v>3.2685189661292927E-2</v>
      </c>
      <c r="CK52" s="208">
        <f t="shared" si="12"/>
        <v>18.708212063412102</v>
      </c>
      <c r="CL52" s="208">
        <f t="shared" si="13"/>
        <v>41.98574807363434</v>
      </c>
      <c r="CM52" s="208">
        <f t="shared" si="14"/>
        <v>0.10751613890405234</v>
      </c>
      <c r="CN52" s="208">
        <f t="shared" si="15"/>
        <v>24.152424026233952</v>
      </c>
      <c r="CO52" s="208">
        <f t="shared" si="16"/>
        <v>3.4426936939815511</v>
      </c>
      <c r="CP52" s="208">
        <f t="shared" si="17"/>
        <v>11.886500116694313</v>
      </c>
      <c r="CQ52" s="208">
        <f t="shared" si="18"/>
        <v>5.5242651920100583</v>
      </c>
      <c r="CR52" s="219">
        <f t="shared" si="19"/>
        <v>553.35382227951493</v>
      </c>
      <c r="CS52" s="225">
        <f t="shared" si="25"/>
        <v>0</v>
      </c>
      <c r="CV52" s="265" t="s">
        <v>433</v>
      </c>
      <c r="CW52" s="271" t="s">
        <v>486</v>
      </c>
      <c r="CX52" s="267">
        <f>INDEX($M$43:$Z$56,MATCH($CW52,$L$43:$L$56,0),MATCH(CX$44,$M$44:$Z$44,0))/INDEX(고양시_재차인원!$D$4:$H$35,MATCH("고양시",고양시_재차인원!$B$4:$B$35,0),MATCH('A.일산테크노밸리(859991)_수정'!$CX$43,고양시_재차인원!$D$4:$H$4,0))</f>
        <v>25.465706500477843</v>
      </c>
      <c r="CY52" s="267">
        <f>INDEX($M$43:$Z$56,MATCH($CW52,$L$43:$L$56,0),MATCH(CY$44,$M$44:$Z$44,0))/INDEX(고양시_재차인원!$K$4:$O$20,MATCH("경기도",고양시_재차인원!$K$4:$K$20,0),MATCH('A.일산테크노밸리(859991)_수정'!CY$44,고양시_재차인원!$K$4:$O$4,0))</f>
        <v>2.1064788765660569E-4</v>
      </c>
      <c r="CZ52" s="267">
        <f>INDEX($M$43:$Z$56,MATCH($CW52,$L$43:$L$56,0),MATCH(CZ$44,$M$44:$Z$44,0))/INDEX(고양시_재차인원!$K$4:$O$20,MATCH("경기도",고양시_재차인원!$K$4:$K$20,0),MATCH('A.일산테크노밸리(859991)_수정'!CZ$44,고양시_재차인원!$K$4:$O$4,0))</f>
        <v>5.8560112768536378E-2</v>
      </c>
      <c r="DA52" s="267">
        <f>INDEX($M$43:$Z$56,MATCH($CW52,$L$43:$L$56,0),MATCH(DA$44,$M$44:$Z$44,0))/INDEX(고양시_재차인원!$K$4:$O$20,MATCH("경기도",고양시_재차인원!$K$4:$K$20,0),MATCH('A.일산테크노밸리(859991)_수정'!DA$44,고양시_재차인원!$K$4:$O$4,0))</f>
        <v>1.2209966073742471</v>
      </c>
      <c r="DB52" s="268">
        <f>INDEX($AA$43:$AN$56,MATCH($CW52,$L$43:$L$56,0),MATCH(DB$44,$AA$44:$AN$44,0))/INDEX(고양시_재차인원!$D$4:$H$35,MATCH("고양시",고양시_재차인원!$B$4:$B$35,0),MATCH('A.일산테크노밸리(859991)_수정'!$DB$43,고양시_재차인원!$D$4:$H$4,0))</f>
        <v>107.2611182451495</v>
      </c>
      <c r="DC52" s="267">
        <f>INDEX($AA$43:$AN$56,MATCH($CW52,$L$43:$L$56,0),MATCH(DC$44,$AA$44:$AN$44,0))/INDEX(고양시_재차인원!$K$4:$O$20,MATCH("경기도",고양시_재차인원!$K$4:$K$20,0),MATCH('A.일산테크노밸리(859991)_수정'!DC$44,고양시_재차인원!$K$4:$O$4,0))</f>
        <v>0</v>
      </c>
      <c r="DD52" s="267">
        <f>INDEX($AA$43:$AN$56,MATCH($CW52,$L$43:$L$56,0),MATCH(DD$44,$AA$44:$AN$44,0))/INDEX(고양시_재차인원!$K$4:$O$20,MATCH("경기도",고양시_재차인원!$K$4:$K$20,0),MATCH('A.일산테크노밸리(859991)_수정'!DD$44,고양시_재차인원!$K$4:$O$4,0))</f>
        <v>0.57003307068204456</v>
      </c>
      <c r="DE52" s="267">
        <f>INDEX($AA$43:$AN$56,MATCH($CW52,$L$43:$L$56,0),MATCH(DE$44,$AA$44:$AN$44,0))/INDEX(고양시_재차인원!$K$4:$O$20,MATCH("경기도",고양시_재차인원!$K$4:$K$20,0),MATCH('A.일산테크노밸리(859991)_수정'!DE$44,고양시_재차인원!$K$4:$O$4,0))</f>
        <v>14.524901288276745</v>
      </c>
      <c r="DF52" s="268">
        <f>INDEX($AO$43:$BB$56,MATCH($CW52,$L$43:$L$56,0),MATCH(DF$44,$AO$44:$BB$44,0))/INDEX(고양시_재차인원!$D$4:$H$35,MATCH("고양시",고양시_재차인원!$B$4:$B$35,0),MATCH('A.일산테크노밸리(859991)_수정'!$DF$43,고양시_재차인원!$D$4:$H$4,0))</f>
        <v>11.783024626735003</v>
      </c>
      <c r="DG52" s="267">
        <f>INDEX($AO$43:$BB$56,MATCH($CW52,$L$43:$L$56,0),MATCH(DG$44,$AO$44:$BB$44,0))/INDEX(고양시_재차인원!$K$4:$O$20,MATCH("경기도",고양시_재차인원!$K$4:$K$20,0),MATCH('A.일산테크노밸리(859991)_수정'!DG$44,고양시_재차인원!$K$4:$O$4,0))</f>
        <v>5.0824258608531993E-4</v>
      </c>
      <c r="DH52" s="267">
        <f>INDEX($AO$43:$BB$56,MATCH($CW52,$L$43:$L$56,0),MATCH(DH$44,$AO$44:$BB$44,0))/INDEX(고양시_재차인원!$K$4:$O$20,MATCH("경기도",고양시_재차인원!$K$4:$K$20,0),MATCH('A.일산테크노밸리(859991)_수정'!DH$44,고양시_재차인원!$K$4:$O$4,0))</f>
        <v>2.0111885192233375E-2</v>
      </c>
      <c r="DI52" s="267">
        <f>INDEX($AO$43:$BB$56,MATCH($CW52,$L$43:$L$56,0),MATCH(DI$44,$AO$44:$BB$44,0))/INDEX(고양시_재차인원!$K$4:$O$20,MATCH("경기도",고양시_재차인원!$K$4:$K$20,0),MATCH('A.일산테크노밸리(859991)_수정'!DI$44,고양시_재차인원!$K$4:$O$4,0))</f>
        <v>0.35535595558248301</v>
      </c>
      <c r="DJ52" s="268">
        <f>INDEX($BC$43:$BP$56,MATCH($CW52,$L$43:$L$56,0),MATCH(DJ$44,$BC$44:$BP$44,0))/INDEX(고양시_재차인원!$D$4:$H$35,MATCH("고양시",고양시_재차인원!$B$4:$B$35,0),MATCH('A.일산테크노밸리(859991)_수정'!$DJ$43,고양시_재차인원!$D$4:$H$4,0))</f>
        <v>3.451648194450236E-2</v>
      </c>
      <c r="DK52" s="267">
        <f>INDEX($BC$43:$BP$56,MATCH($CW52,$L$43:$L$56,0),MATCH(DK$44,$BC$44:$BP$44,0))/INDEX(고양시_재차인원!$K$4:$O$20,MATCH("경기도",고양시_재차인원!$K$4:$K$20,0),MATCH('A.일산테크노밸리(859991)_수정'!DK$44,고양시_재차인원!$K$4:$O$4,0))</f>
        <v>1.0455276056612322E-4</v>
      </c>
      <c r="DL52" s="267">
        <f>INDEX($BC$43:$BP$56,MATCH($CW52,$L$43:$L$56,0),MATCH(DL$44,$BC$44:$BP$44,0))/INDEX(고양시_재차인원!$K$4:$O$20,MATCH("경기도",고양시_재차인원!$K$4:$K$20,0),MATCH('A.일산테크노밸리(859991)_수정'!DL$44,고양시_재차인원!$K$4:$O$4,0))</f>
        <v>6.9701840377415472E-5</v>
      </c>
      <c r="DM52" s="267">
        <f>INDEX($BC$43:$BP$56,MATCH($CW52,$L$43:$L$56,0),MATCH(DM$44,$BC$44:$BP$44,0))/INDEX(고양시_재차인원!$K$4:$O$20,MATCH("경기도",고양시_재차인원!$K$4:$K$20,0),MATCH('A.일산테크노밸리(859991)_수정'!DM$44,고양시_재차인원!$K$4:$O$4,0))</f>
        <v>2.8721358723050877E-4</v>
      </c>
      <c r="DN52" s="268">
        <f>INDEX($BQ$43:$CD$56,MATCH($CW52,$L$43:$L$56,0),MATCH(DN$44,$BQ$44:$CD$44,0))/INDEX(고양시_재차인원!$D$4:$H$35,MATCH("고양시",고양시_재차인원!$B$4:$B$35,0),MATCH('A.일산테크노밸리(859991)_수정'!$DN$43,고양시_재차인원!$D$4:$H$4,0))</f>
        <v>7.8113937613109266E-2</v>
      </c>
      <c r="DO52" s="267">
        <f>INDEX($BQ$43:$CD$56,MATCH($CW52,$L$43:$L$56,0),MATCH(DO$44,$BQ$44:$CD$44,0))/INDEX(고양시_재차인원!$K$4:$O$20,MATCH("경기도",고양시_재차인원!$K$4:$K$20,0),MATCH('A.일산테크노밸리(859991)_수정'!DO$44,고양시_재차인원!$K$4:$O$4,0))</f>
        <v>3.1185338470177826E-4</v>
      </c>
      <c r="DP52" s="267">
        <f>INDEX($BQ$43:$CD$56,MATCH($CW52,$L$43:$L$56,0),MATCH(DP$44,$BQ$44:$CD$44,0))/INDEX(고양시_재차인원!$K$4:$O$20,MATCH("경기도",고양시_재차인원!$K$4:$K$20,0),MATCH('A.일산테크노밸리(859991)_수정'!DP$44,고양시_재차인원!$K$4:$O$4,0))</f>
        <v>1.04155683226873E-3</v>
      </c>
      <c r="DQ52" s="267">
        <f>INDEX($BQ$43:$CD$56,MATCH($CW52,$L$43:$L$56,0),MATCH(DQ$44,$BQ$44:$CD$44,0))/INDEX(고양시_재차인원!$K$4:$O$20,MATCH("경기도",고양시_재차인원!$K$4:$K$20,0),MATCH('A.일산테크노밸리(859991)_수정'!DQ$44,고양시_재차인원!$K$4:$O$4,0))</f>
        <v>7.495266859743513E-5</v>
      </c>
      <c r="DR52" s="269">
        <f t="shared" si="26"/>
        <v>144.62247979191994</v>
      </c>
      <c r="DS52" s="270">
        <f t="shared" si="20"/>
        <v>1.1352966190098272E-3</v>
      </c>
      <c r="DT52" s="270">
        <f t="shared" si="21"/>
        <v>0.64981632731546046</v>
      </c>
      <c r="DU52" s="270">
        <f t="shared" si="22"/>
        <v>16.101616017489302</v>
      </c>
      <c r="DW52" s="278"/>
      <c r="DX52" s="278" t="s">
        <v>595</v>
      </c>
      <c r="DY52" s="281">
        <f>DR54+DU54</f>
        <v>286.5195890981463</v>
      </c>
      <c r="DZ52" s="281">
        <f>DS54+DT54</f>
        <v>1.1604382707720704</v>
      </c>
      <c r="EC52" s="412" t="s">
        <v>15</v>
      </c>
      <c r="ED52" s="412" t="s">
        <v>572</v>
      </c>
      <c r="EE52" s="412">
        <v>10028.5581</v>
      </c>
      <c r="EF52" s="412">
        <v>4.6576536899844041E-2</v>
      </c>
      <c r="EG52" s="413">
        <v>859008</v>
      </c>
      <c r="EH52" s="414">
        <f t="shared" si="29"/>
        <v>344.70087299228305</v>
      </c>
      <c r="EI52" s="415">
        <f t="shared" si="30"/>
        <v>1.3960793614420828</v>
      </c>
      <c r="EJ52" s="402">
        <v>0</v>
      </c>
      <c r="EM52" s="278" t="s">
        <v>15</v>
      </c>
      <c r="EN52" s="278" t="s">
        <v>572</v>
      </c>
      <c r="EO52" s="278">
        <v>10028.5581</v>
      </c>
      <c r="EP52" s="278">
        <v>4.6576536899844041E-2</v>
      </c>
      <c r="EQ52" s="289">
        <v>859008</v>
      </c>
      <c r="ER52" s="290">
        <f t="shared" si="31"/>
        <v>344.70087299228305</v>
      </c>
      <c r="ES52" s="291">
        <f t="shared" si="23"/>
        <v>1.3960793614420828</v>
      </c>
      <c r="ET52" s="402">
        <v>0</v>
      </c>
      <c r="EV52" s="34"/>
      <c r="EW52" s="34"/>
      <c r="EX52" s="34"/>
      <c r="EY52" s="34"/>
      <c r="EZ52" s="378"/>
      <c r="FA52" s="401"/>
      <c r="FB52" s="402"/>
      <c r="FC52" s="402"/>
    </row>
    <row r="53" spans="1:159" ht="27" customHeight="1">
      <c r="A53" s="205" t="s">
        <v>491</v>
      </c>
      <c r="B53" s="203" t="s">
        <v>23</v>
      </c>
      <c r="C53" s="400">
        <f>'A.일산테크노밸리(859991)_수정'!$P36*KTDB_TripDistribution_2045!L$12 * (1 + KTDB_발생량도착량_증가율!$D$7*5) * (1 + KTDB_발생량도착량_증가율!$E$7*5) * (1 + KTDB_발생량도착량_증가율!$F$7*5) * (1 + KTDB_발생량도착량_증가율!$G$7*5)</f>
        <v>201.95356819152676</v>
      </c>
      <c r="D53" s="400">
        <f>'A.일산테크노밸리(859991)_수정'!$P36*KTDB_TripDistribution_2045!M$12 * (1 + KTDB_발생량도착량_증가율!$D$7*5) * (1 + KTDB_발생량도착량_증가율!$E$7*5) * (1 + KTDB_발생량도착량_증가율!$F$7*5) * (1 + KTDB_발생량도착량_증가율!$G$7*5)</f>
        <v>1570.4178775946446</v>
      </c>
      <c r="E53" s="400">
        <f>'A.일산테크노밸리(859991)_수정'!$P36*KTDB_TripDistribution_2045!N$12 * (1 + KTDB_발생량도착량_증가율!$D$7*5) * (1 + KTDB_발생량도착량_증가율!$E$7*5) * (1 + KTDB_발생량도착량_증가율!$F$7*5) * (1 + KTDB_발생량도착량_증가율!$G$7*5)</f>
        <v>69.609326939359903</v>
      </c>
      <c r="F53" s="400">
        <f>'A.일산테크노밸리(859991)_수정'!$P36*KTDB_TripDistribution_2045!O$12 * (1 + KTDB_발생량도착량_증가율!$D$7*5) * (1 + KTDB_발생량도착량_증가율!$E$7*5) * (1 + KTDB_발생량도착량_증가율!$F$7*5) * (1 + KTDB_발생량도착량_증가율!$G$7*5)</f>
        <v>0.18877105610673919</v>
      </c>
      <c r="G53" s="400">
        <f>'A.일산테크노밸리(859991)_수정'!$P36*KTDB_TripDistribution_2045!P$12 * (1 + KTDB_발생량도착량_증가율!$D$7*5) * (1 + KTDB_발생량도착량_증가율!$E$7*5) * (1 + KTDB_발생량도착량_증가율!$F$7*5) * (1 + KTDB_발생량도착량_증가율!$G$7*5)</f>
        <v>0.53485132563575921</v>
      </c>
      <c r="H53" s="400">
        <f>'A.일산테크노밸리(859991)_수정'!$P36*KTDB_TripDistribution_2045!Q$12 * (1 + KTDB_발생량도착량_증가율!$D$7*5) * (1 + KTDB_발생량도착량_증가율!$E$7*5) * (1 + KTDB_발생량도착량_증가율!$F$7*5) * (1 + KTDB_발생량도착량_증가율!$G$7*5)</f>
        <v>1842.704395107274</v>
      </c>
      <c r="J53" s="230">
        <f t="shared" si="6"/>
        <v>1842.704395107274</v>
      </c>
      <c r="K53" s="206"/>
      <c r="L53" s="210" t="s">
        <v>23</v>
      </c>
      <c r="M53" s="213">
        <f>INDEX($A$44:$H$56,MATCH($L53,$B$44:$B$56,0),MATCH($M$43,$A$44:$H$44,0))*고양시_Modal_split!C$3 * 0.01</f>
        <v>0.56546999093627481</v>
      </c>
      <c r="N53" s="207">
        <f>INDEX($A$44:$H$56,MATCH($L53,$B$44:$B$56,0),MATCH($M$43,$A$44:$H$44,0))*고양시_Modal_split!D$3 * 0.01</f>
        <v>94.978763120475037</v>
      </c>
      <c r="O53" s="207">
        <f>INDEX($A$44:$H$56,MATCH($L53,$B$44:$B$56,0),MATCH($M$43,$A$44:$H$44,0))*고양시_Modal_split!E$3 * 0.01</f>
        <v>11.491158030097873</v>
      </c>
      <c r="P53" s="207">
        <f>INDEX($A$44:$H$56,MATCH($L53,$B$44:$B$56,0),MATCH($M$43,$A$44:$H$44,0))*고양시_Modal_split!F$3 * 0.01</f>
        <v>18.519142203163003</v>
      </c>
      <c r="Q53" s="207">
        <f>INDEX($A$44:$H$56,MATCH($L53,$B$44:$B$56,0),MATCH($M$43,$A$44:$H$44,0))*고양시_Modal_split!G$3 * 0.01</f>
        <v>1.8579728273620462</v>
      </c>
      <c r="R53" s="207">
        <f>INDEX($A$44:$H$56,MATCH($L53,$B$44:$B$56,0),MATCH($M$43,$A$44:$H$44,0))*고양시_Modal_split!H$3 * 0.01</f>
        <v>2.0195356819152677E-2</v>
      </c>
      <c r="S53" s="207">
        <f>INDEX($A$44:$H$56,MATCH($L53,$B$44:$B$56,0),MATCH($M$43,$A$44:$H$44,0))*고양시_Modal_split!I$3 * 0.01</f>
        <v>5.6143091957244442</v>
      </c>
      <c r="T53" s="207">
        <f>INDEX($A$44:$H$56,MATCH($L53,$B$44:$B$56,0),MATCH($M$43,$A$44:$H$44,0))*고양시_Modal_split!J$3 * 0.01</f>
        <v>61.474666157500749</v>
      </c>
      <c r="U53" s="207">
        <f>INDEX($A$44:$H$56,MATCH($L53,$B$44:$B$56,0),MATCH($M$43,$A$44:$H$44,0))*고양시_Modal_split!K$3 * 0.01</f>
        <v>0.30293035228729009</v>
      </c>
      <c r="V53" s="207">
        <f>INDEX($A$44:$H$56,MATCH($L53,$B$44:$B$56,0),MATCH($M$43,$A$44:$H$44,0))*고양시_Modal_split!L$3 * 0.01</f>
        <v>6.0989977593841083</v>
      </c>
      <c r="W53" s="207">
        <f>INDEX($A$44:$H$56,MATCH($L53,$B$44:$B$56,0),MATCH($M$43,$A$44:$H$44,0))*고양시_Modal_split!M$3 * 0.01</f>
        <v>0.46449320684051154</v>
      </c>
      <c r="X53" s="207">
        <f>INDEX($A$44:$H$56,MATCH($L53,$B$44:$B$56,0),MATCH($M$43,$A$44:$H$44,0))*고양시_Modal_split!N$3 * 0.01</f>
        <v>0.20195356819152679</v>
      </c>
      <c r="Y53" s="207">
        <f>INDEX($A$44:$H$56,MATCH($L53,$B$44:$B$56,0),MATCH($M$43,$A$44:$H$44,0))*고양시_Modal_split!O$3 * 0.01</f>
        <v>0.36351642274474816</v>
      </c>
      <c r="Z53" s="214">
        <f>INDEX($A$44:$H$56,MATCH($L53,$B$44:$B$56,0),MATCH($M$43,$A$44:$H$44,0))*고양시_Modal_split!P$3 * 0.01</f>
        <v>201.95356819152676</v>
      </c>
      <c r="AA53" s="213">
        <f>INDEX($A$44:$H$56,MATCH($L53,$B$44:$B$56,0),MATCH($AA$43,$A$44:$H$44,0))*고양시_Modal_split!C$4 * 0.01</f>
        <v>478.03520193980984</v>
      </c>
      <c r="AB53" s="207">
        <f>INDEX($A$44:$H$56,MATCH($L53,$B$44:$B$56,0),MATCH($AA$43,$A$44:$H$44,0))*고양시_Modal_split!D$4 * 0.01</f>
        <v>503.63301334460255</v>
      </c>
      <c r="AC53" s="207">
        <f>INDEX($A$44:$H$56,MATCH($L53,$B$44:$B$56,0),MATCH($AA$43,$A$44:$H$44,0))*고양시_Modal_split!E$4 * 0.01</f>
        <v>122.02146908910389</v>
      </c>
      <c r="AD53" s="207">
        <f>INDEX($A$44:$H$56,MATCH($L53,$B$44:$B$56,0),MATCH($AA$43,$A$44:$H$44,0))*고양시_Modal_split!F$4 * 0.01</f>
        <v>14.918969837149122</v>
      </c>
      <c r="AE53" s="207">
        <f>INDEX($A$44:$H$56,MATCH($L53,$B$44:$B$56,0),MATCH($AA$43,$A$44:$H$44,0))*고양시_Modal_split!G$4 * 0.01</f>
        <v>183.89593346633288</v>
      </c>
      <c r="AF53" s="207">
        <f>INDEX($A$44:$H$56,MATCH($L53,$B$44:$B$56,0),MATCH($AA$43,$A$44:$H$44,0))*고양시_Modal_split!H$4 * 0.01</f>
        <v>0</v>
      </c>
      <c r="AG53" s="207">
        <f>INDEX($A$44:$H$56,MATCH($L53,$B$44:$B$56,0),MATCH($AA$43,$A$44:$H$44,0))*고양시_Modal_split!I$4 * 0.01</f>
        <v>54.650542140293624</v>
      </c>
      <c r="AH53" s="207">
        <f>INDEX($A$44:$H$56,MATCH($L53,$B$44:$B$56,0),MATCH($AA$43,$A$44:$H$44,0))*고양시_Modal_split!J$4 * 0.01</f>
        <v>73.966682034707759</v>
      </c>
      <c r="AI53" s="207">
        <f>INDEX($A$44:$H$56,MATCH($L53,$B$44:$B$56,0),MATCH($AA$43,$A$44:$H$44,0))*고양시_Modal_split!K$4 * 0.01</f>
        <v>0</v>
      </c>
      <c r="AJ53" s="207">
        <f>INDEX($A$44:$H$56,MATCH($L53,$B$44:$B$56,0),MATCH($AA$43,$A$44:$H$44,0))*고양시_Modal_split!L$4 * 0.01</f>
        <v>72.553305944872577</v>
      </c>
      <c r="AK53" s="207">
        <f>INDEX($A$44:$H$56,MATCH($L53,$B$44:$B$56,0),MATCH($AA$43,$A$44:$H$44,0))*고양시_Modal_split!M$4 * 0.01</f>
        <v>10.52179977988412</v>
      </c>
      <c r="AL53" s="207">
        <f>INDEX($A$44:$H$56,MATCH($L53,$B$44:$B$56,0),MATCH($AA$43,$A$44:$H$44,0))*고양시_Modal_split!N$4 * 0.01</f>
        <v>39.260446939866114</v>
      </c>
      <c r="AM53" s="207">
        <f>INDEX($A$44:$H$56,MATCH($L53,$B$44:$B$56,0),MATCH($AA$43,$A$44:$H$44,0))*고양시_Modal_split!O$4 * 0.01</f>
        <v>16.96051307802216</v>
      </c>
      <c r="AN53" s="214">
        <f>INDEX($A$44:$H$56,MATCH($L53,$B$44:$B$56,0),MATCH($AA$43,$A$44:$H$44,0))*고양시_Modal_split!P$4 * 0.01</f>
        <v>1570.4178775946448</v>
      </c>
      <c r="AO53" s="213">
        <f>INDEX($A$44:$H$56,MATCH($L53,$B$44:$B$56,0),MATCH($AO$43,$A$44:$H$44,0))*고양시_Modal_split!C$5 * 0.01</f>
        <v>4.1765596163615942E-2</v>
      </c>
      <c r="AP53" s="207">
        <f>INDEX($A$44:$H$56,MATCH($L53,$B$44:$B$56,0),MATCH($AO$43,$A$44:$H$44,0))*고양시_Modal_split!D$5 * 0.01</f>
        <v>51.009714781162941</v>
      </c>
      <c r="AQ53" s="207">
        <f>INDEX($A$44:$H$56,MATCH($L53,$B$44:$B$56,0),MATCH($AO$43,$A$44:$H$44,0))*고양시_Modal_split!E$5 * 0.01</f>
        <v>6.8565187035269508</v>
      </c>
      <c r="AR53" s="207">
        <f>INDEX($A$44:$H$56,MATCH($L53,$B$44:$B$56,0),MATCH($AO$43,$A$44:$H$44,0))*고양시_Modal_split!F$5 * 0.01</f>
        <v>1.4617958657265582</v>
      </c>
      <c r="AS53" s="207">
        <f>INDEX($A$44:$H$56,MATCH($L53,$B$44:$B$56,0),MATCH($AO$43,$A$44:$H$44,0))*고양시_Modal_split!G$5 * 0.01</f>
        <v>0.4524606251058394</v>
      </c>
      <c r="AT53" s="207">
        <f>INDEX($A$44:$H$56,MATCH($L53,$B$44:$B$56,0),MATCH($AO$43,$A$44:$H$44,0))*고양시_Modal_split!H$5 * 0.01</f>
        <v>4.8726528857551923E-2</v>
      </c>
      <c r="AU53" s="207">
        <f>INDEX($A$44:$H$56,MATCH($L53,$B$44:$B$56,0),MATCH($AO$43,$A$44:$H$44,0))*고양시_Modal_split!I$5 * 0.01</f>
        <v>1.9281783562202695</v>
      </c>
      <c r="AV53" s="207">
        <f>INDEX($A$44:$H$56,MATCH($L53,$B$44:$B$56,0),MATCH($AO$43,$A$44:$H$44,0))*고양시_Modal_split!J$5 * 0.01</f>
        <v>4.3645047990978663</v>
      </c>
      <c r="AW53" s="207">
        <f>INDEX($A$44:$H$56,MATCH($L53,$B$44:$B$56,0),MATCH($AO$43,$A$44:$H$44,0))*고양시_Modal_split!K$5 * 0.01</f>
        <v>1.3921865387871981E-2</v>
      </c>
      <c r="AX53" s="207">
        <f>INDEX($A$44:$H$56,MATCH($L53,$B$44:$B$56,0),MATCH($AO$43,$A$44:$H$44,0))*고양시_Modal_split!L$5 * 0.01</f>
        <v>1.7750378369536772</v>
      </c>
      <c r="AY53" s="207">
        <f>INDEX($A$44:$H$56,MATCH($L53,$B$44:$B$56,0),MATCH($AO$43,$A$44:$H$44,0))*고양시_Modal_split!M$5 * 0.01</f>
        <v>0.46638249049371139</v>
      </c>
      <c r="AZ53" s="207">
        <f>INDEX($A$44:$H$56,MATCH($L53,$B$44:$B$56,0),MATCH($AO$43,$A$44:$H$44,0))*고양시_Modal_split!N$5 * 0.01</f>
        <v>0.11833585579691183</v>
      </c>
      <c r="BA53" s="207">
        <f>INDEX($A$44:$H$56,MATCH($L53,$B$44:$B$56,0),MATCH($AO$43,$A$44:$H$44,0))*고양시_Modal_split!O$5 * 0.01</f>
        <v>1.0719836348661427</v>
      </c>
      <c r="BB53" s="214">
        <f>INDEX($A$44:$H$56,MATCH($L53,$B$44:$B$56,0),MATCH($AO$43,$A$44:$H$44,0))*고양시_Modal_split!P$5 * 0.01</f>
        <v>69.609326939359889</v>
      </c>
      <c r="BC53" s="213">
        <f>INDEX($A$44:$H$56,MATCH($L53,$B$44:$B$56,0),MATCH($BC$43,$A$44:$H$44,0))*고양시_Modal_split!C$6 * 0.01</f>
        <v>0</v>
      </c>
      <c r="BD53" s="207">
        <f>INDEX($A$44:$H$56,MATCH($L53,$B$44:$B$56,0),MATCH($BC$43,$A$44:$H$44,0))*고양시_Modal_split!D$6 * 0.01</f>
        <v>0.15632131156199072</v>
      </c>
      <c r="BE53" s="207">
        <f>INDEX($A$44:$H$56,MATCH($L53,$B$44:$B$56,0),MATCH($BC$43,$A$44:$H$44,0))*고양시_Modal_split!E$6 * 0.01</f>
        <v>8.1171554125897857E-4</v>
      </c>
      <c r="BF53" s="207">
        <f>INDEX($A$44:$H$56,MATCH($L53,$B$44:$B$56,0),MATCH($BC$43,$A$44:$H$44,0))*고양시_Modal_split!F$6 * 0.01</f>
        <v>2.3030068845022182E-3</v>
      </c>
      <c r="BG53" s="207">
        <f>INDEX($A$44:$H$56,MATCH($L53,$B$44:$B$56,0),MATCH($BC$43,$A$44:$H$44,0))*고양시_Modal_split!G$6 * 0.01</f>
        <v>0</v>
      </c>
      <c r="BH53" s="207">
        <f>INDEX($A$44:$H$56,MATCH($L53,$B$44:$B$56,0),MATCH($BC$43,$A$44:$H$44,0))*고양시_Modal_split!H$6 * 0.01</f>
        <v>1.0023743079267853E-2</v>
      </c>
      <c r="BI53" s="207">
        <f>INDEX($A$44:$H$56,MATCH($L53,$B$44:$B$56,0),MATCH($BC$43,$A$44:$H$44,0))*고양시_Modal_split!I$6 * 0.01</f>
        <v>6.6824953861785675E-3</v>
      </c>
      <c r="BJ53" s="207">
        <f>INDEX($A$44:$H$56,MATCH($L53,$B$44:$B$56,0),MATCH($BC$43,$A$44:$H$44,0))*고양시_Modal_split!J$6 * 0.01</f>
        <v>9.3252901716729154E-3</v>
      </c>
      <c r="BK53" s="207">
        <f>INDEX($A$44:$H$56,MATCH($L53,$B$44:$B$56,0),MATCH($BC$43,$A$44:$H$44,0))*고양시_Modal_split!K$6 * 0.01</f>
        <v>0</v>
      </c>
      <c r="BL53" s="207">
        <f>INDEX($A$44:$H$56,MATCH($L53,$B$44:$B$56,0),MATCH($BC$43,$A$44:$H$44,0))*고양시_Modal_split!L$6 * 0.01</f>
        <v>1.4346600264112178E-3</v>
      </c>
      <c r="BM53" s="207">
        <f>INDEX($A$44:$H$56,MATCH($L53,$B$44:$B$56,0),MATCH($BC$43,$A$44:$H$44,0))*고양시_Modal_split!M$6 * 0.01</f>
        <v>1.7178166105713266E-3</v>
      </c>
      <c r="BN53" s="207">
        <f>INDEX($A$44:$H$56,MATCH($L53,$B$44:$B$56,0),MATCH($BC$43,$A$44:$H$44,0))*고양시_Modal_split!N$6 * 0.01</f>
        <v>0</v>
      </c>
      <c r="BO53" s="207">
        <f>INDEX($A$44:$H$56,MATCH($L53,$B$44:$B$56,0),MATCH($BC$43,$A$44:$H$44,0))*고양시_Modal_split!O$6 * 0.01</f>
        <v>1.5101684488539135E-4</v>
      </c>
      <c r="BP53" s="214">
        <f>INDEX($A$44:$H$56,MATCH($L53,$B$44:$B$56,0),MATCH($BC$43,$A$44:$H$44,0))*고양시_Modal_split!P$6 * 0.01</f>
        <v>0.18877105610673919</v>
      </c>
      <c r="BQ53" s="213">
        <f>INDEX($A$44:$H$56,MATCH($L53,$B$44:$B$56,0),MATCH($BQ$43,$A$44:$H$44,0))*고양시_Modal_split!C$7 * 0.01</f>
        <v>0</v>
      </c>
      <c r="BR53" s="207">
        <f>INDEX($A$44:$H$56,MATCH($L53,$B$44:$B$56,0),MATCH($BQ$43,$A$44:$H$44,0))*고양시_Modal_split!D$7 * 0.01</f>
        <v>0.32775689234959321</v>
      </c>
      <c r="BS53" s="207">
        <f>INDEX($A$44:$H$56,MATCH($L53,$B$44:$B$56,0),MATCH($BQ$43,$A$44:$H$44,0))*고양시_Modal_split!E$7 * 0.01</f>
        <v>1.5992054636509198E-2</v>
      </c>
      <c r="BT53" s="207">
        <f>INDEX($A$44:$H$56,MATCH($L53,$B$44:$B$56,0),MATCH($BQ$43,$A$44:$H$44,0))*고양시_Modal_split!F$7 * 0.01</f>
        <v>5.3485132563575923E-3</v>
      </c>
      <c r="BU53" s="207">
        <f>INDEX($A$44:$H$56,MATCH($L53,$B$44:$B$56,0),MATCH($BQ$43,$A$44:$H$44,0))*고양시_Modal_split!G$7 * 0.01</f>
        <v>2.2463755676701887E-3</v>
      </c>
      <c r="BV53" s="207">
        <f>INDEX($A$44:$H$56,MATCH($L53,$B$44:$B$56,0),MATCH($BQ$43,$A$44:$H$44,0))*고양시_Modal_split!H$7 * 0.01</f>
        <v>2.9898189103038941E-2</v>
      </c>
      <c r="BW53" s="207">
        <f>INDEX($A$44:$H$56,MATCH($L53,$B$44:$B$56,0),MATCH($BQ$43,$A$44:$H$44,0))*고양시_Modal_split!I$7 * 0.01</f>
        <v>9.9856742496196263E-2</v>
      </c>
      <c r="BX53" s="207">
        <f>INDEX($A$44:$H$56,MATCH($L53,$B$44:$B$56,0),MATCH($BQ$43,$A$44:$H$44,0))*고양시_Modal_split!J$7 * 0.01</f>
        <v>1.0697026512715186E-4</v>
      </c>
      <c r="BY53" s="207">
        <f>INDEX($A$44:$H$56,MATCH($L53,$B$44:$B$56,0),MATCH($BQ$43,$A$44:$H$44,0))*고양시_Modal_split!K$7 * 0.01</f>
        <v>4.1183552073953467E-2</v>
      </c>
      <c r="BZ53" s="207">
        <f>INDEX($A$44:$H$56,MATCH($L53,$B$44:$B$56,0),MATCH($BQ$43,$A$44:$H$44,0))*고양시_Modal_split!L$7 * 0.01</f>
        <v>3.7439592794503138E-4</v>
      </c>
      <c r="CA53" s="207">
        <f>INDEX($A$44:$H$56,MATCH($L53,$B$44:$B$56,0),MATCH($BQ$43,$A$44:$H$44,0))*고양시_Modal_split!M$7 * 0.01</f>
        <v>1.0001719789388699E-2</v>
      </c>
      <c r="CB53" s="207">
        <f>INDEX($A$44:$H$56,MATCH($L53,$B$44:$B$56,0),MATCH($BQ$43,$A$44:$H$44,0))*고양시_Modal_split!N$7 * 0.01</f>
        <v>2.0859201699794609E-3</v>
      </c>
      <c r="CC53" s="207">
        <f>INDEX($A$44:$H$56,MATCH($L53,$B$44:$B$56,0),MATCH($BQ$43,$A$44:$H$44,0))*고양시_Modal_split!O$7 * 0.01</f>
        <v>0</v>
      </c>
      <c r="CD53" s="214">
        <f>INDEX($A$44:$H$56,MATCH($L53,$B$44:$B$56,0),MATCH($BQ$43,$A$44:$H$44,0))*고양시_Modal_split!P$7 * 0.01</f>
        <v>0.53485132563575921</v>
      </c>
      <c r="CE53" s="218">
        <f t="shared" si="24"/>
        <v>478.6424375269097</v>
      </c>
      <c r="CF53" s="208">
        <f t="shared" si="7"/>
        <v>650.10556945015219</v>
      </c>
      <c r="CG53" s="208">
        <f t="shared" si="8"/>
        <v>140.38594959290648</v>
      </c>
      <c r="CH53" s="208">
        <f t="shared" si="9"/>
        <v>34.907559426179546</v>
      </c>
      <c r="CI53" s="208">
        <f t="shared" si="10"/>
        <v>186.2086132943684</v>
      </c>
      <c r="CJ53" s="208">
        <f t="shared" si="11"/>
        <v>0.1088438178590114</v>
      </c>
      <c r="CK53" s="208">
        <f t="shared" si="12"/>
        <v>62.299568930120714</v>
      </c>
      <c r="CL53" s="208">
        <f t="shared" si="13"/>
        <v>139.81528525174318</v>
      </c>
      <c r="CM53" s="208">
        <f t="shared" si="14"/>
        <v>0.35803576974911555</v>
      </c>
      <c r="CN53" s="208">
        <f t="shared" si="15"/>
        <v>80.429150597164707</v>
      </c>
      <c r="CO53" s="208">
        <f t="shared" si="16"/>
        <v>11.464395013618301</v>
      </c>
      <c r="CP53" s="208">
        <f t="shared" si="17"/>
        <v>39.582822284024537</v>
      </c>
      <c r="CQ53" s="208">
        <f t="shared" si="18"/>
        <v>18.396164152477937</v>
      </c>
      <c r="CR53" s="219">
        <f t="shared" si="19"/>
        <v>1842.704395107274</v>
      </c>
      <c r="CS53" s="225">
        <f t="shared" si="25"/>
        <v>0</v>
      </c>
      <c r="CV53" s="265" t="s">
        <v>433</v>
      </c>
      <c r="CW53" s="271" t="s">
        <v>23</v>
      </c>
      <c r="CX53" s="267">
        <f>INDEX($M$43:$Z$56,MATCH($CW53,$L$43:$L$56,0),MATCH(CX$44,$M$44:$Z$44,0))/INDEX(고양시_재차인원!$D$4:$H$35,MATCH("고양시",고양시_재차인원!$B$4:$B$35,0),MATCH('A.일산테크노밸리(859991)_수정'!$CX$43,고양시_재차인원!$D$4:$H$4,0))</f>
        <v>84.802467071852703</v>
      </c>
      <c r="CY53" s="267">
        <f>INDEX($M$43:$Z$56,MATCH($CW53,$L$43:$L$56,0),MATCH(CY$44,$M$44:$Z$44,0))/INDEX(고양시_재차인원!$K$4:$O$20,MATCH("경기도",고양시_재차인원!$K$4:$K$20,0),MATCH('A.일산테크노밸리(859991)_수정'!CY$44,고양시_재차인원!$K$4:$O$4,0))</f>
        <v>7.0147123373229172E-4</v>
      </c>
      <c r="CZ53" s="267">
        <f>INDEX($M$43:$Z$56,MATCH($CW53,$L$43:$L$56,0),MATCH(CZ$44,$M$44:$Z$44,0))/INDEX(고양시_재차인원!$K$4:$O$20,MATCH("경기도",고양시_재차인원!$K$4:$K$20,0),MATCH('A.일산테크노밸리(859991)_수정'!CZ$44,고양시_재차인원!$K$4:$O$4,0))</f>
        <v>0.19500900297757709</v>
      </c>
      <c r="DA53" s="267">
        <f>INDEX($M$43:$Z$56,MATCH($CW53,$L$43:$L$56,0),MATCH(DA$44,$M$44:$Z$44,0))/INDEX(고양시_재차인원!$K$4:$O$20,MATCH("경기도",고양시_재차인원!$K$4:$K$20,0),MATCH('A.일산테크노밸리(859991)_수정'!DA$44,고양시_재차인원!$K$4:$O$4,0))</f>
        <v>4.0659985062560722</v>
      </c>
      <c r="DB53" s="268">
        <f>INDEX($AA$43:$AN$56,MATCH($CW53,$L$43:$L$56,0),MATCH(DB$44,$AA$44:$AN$44,0))/INDEX(고양시_재차인원!$D$4:$H$35,MATCH("고양시",고양시_재차인원!$B$4:$B$35,0),MATCH('A.일산테크노밸리(859991)_수정'!$DB$43,고양시_재차인원!$D$4:$H$4,0))</f>
        <v>357.18653428695217</v>
      </c>
      <c r="DC53" s="267">
        <f>INDEX($AA$43:$AN$56,MATCH($CW53,$L$43:$L$56,0),MATCH(DC$44,$AA$44:$AN$44,0))/INDEX(고양시_재차인원!$K$4:$O$20,MATCH("경기도",고양시_재차인원!$K$4:$K$20,0),MATCH('A.일산테크노밸리(859991)_수정'!DC$44,고양시_재차인원!$K$4:$O$4,0))</f>
        <v>0</v>
      </c>
      <c r="DD53" s="267">
        <f>INDEX($AA$43:$AN$56,MATCH($CW53,$L$43:$L$56,0),MATCH(DD$44,$AA$44:$AN$44,0))/INDEX(고양시_재차인원!$K$4:$O$20,MATCH("경기도",고양시_재차인원!$K$4:$K$20,0),MATCH('A.일산테크노밸리(859991)_수정'!DD$44,고양시_재차인원!$K$4:$O$4,0))</f>
        <v>1.8982473824346517</v>
      </c>
      <c r="DE53" s="267">
        <f>INDEX($AA$43:$AN$56,MATCH($CW53,$L$43:$L$56,0),MATCH(DE$44,$AA$44:$AN$44,0))/INDEX(고양시_재차인원!$K$4:$O$20,MATCH("경기도",고양시_재차인원!$K$4:$K$20,0),MATCH('A.일산테크노밸리(859991)_수정'!DE$44,고양시_재차인원!$K$4:$O$4,0))</f>
        <v>48.368870629915051</v>
      </c>
      <c r="DF53" s="268">
        <f>INDEX($AO$43:$BB$56,MATCH($CW53,$L$43:$L$56,0),MATCH(DF$44,$AO$44:$BB$44,0))/INDEX(고양시_재차인원!$D$4:$H$35,MATCH("고양시",고양시_재차인원!$B$4:$B$35,0),MATCH('A.일산테크노밸리(859991)_수정'!$DF$43,고양시_재차인원!$D$4:$H$4,0))</f>
        <v>39.23824213935611</v>
      </c>
      <c r="DG53" s="267">
        <f>INDEX($AO$43:$BB$56,MATCH($CW53,$L$43:$L$56,0),MATCH(DG$44,$AO$44:$BB$44,0))/INDEX(고양시_재차인원!$K$4:$O$20,MATCH("경기도",고양시_재차인원!$K$4:$K$20,0),MATCH('A.일산테크노밸리(859991)_수정'!DG$44,고양시_재차인원!$K$4:$O$4,0))</f>
        <v>1.6924810301337939E-3</v>
      </c>
      <c r="DH53" s="267">
        <f>INDEX($AO$43:$BB$56,MATCH($CW53,$L$43:$L$56,0),MATCH(DH$44,$AO$44:$BB$44,0))/INDEX(고양시_재차인원!$K$4:$O$20,MATCH("경기도",고양시_재차인원!$K$4:$K$20,0),MATCH('A.일산테크노밸리(859991)_수정'!DH$44,고양시_재차인원!$K$4:$O$4,0))</f>
        <v>6.6973892192437282E-2</v>
      </c>
      <c r="DI53" s="267">
        <f>INDEX($AO$43:$BB$56,MATCH($CW53,$L$43:$L$56,0),MATCH(DI$44,$AO$44:$BB$44,0))/INDEX(고양시_재차인원!$K$4:$O$20,MATCH("경기도",고양시_재차인원!$K$4:$K$20,0),MATCH('A.일산테크노밸리(859991)_수정'!DI$44,고양시_재차인원!$K$4:$O$4,0))</f>
        <v>1.1833585579691182</v>
      </c>
      <c r="DJ53" s="268">
        <f>INDEX($BC$43:$BP$56,MATCH($CW53,$L$43:$L$56,0),MATCH(DJ$44,$BC$44:$BP$44,0))/INDEX(고양시_재차인원!$D$4:$H$35,MATCH("고양시",고양시_재차인원!$B$4:$B$35,0),MATCH('A.일산테크노밸리(859991)_수정'!$DJ$43,고양시_재차인원!$D$4:$H$4,0))</f>
        <v>0.11494214085440493</v>
      </c>
      <c r="DK53" s="267">
        <f>INDEX($BC$43:$BP$56,MATCH($CW53,$L$43:$L$56,0),MATCH(DK$44,$BC$44:$BP$44,0))/INDEX(고양시_재차인원!$K$4:$O$20,MATCH("경기도",고양시_재차인원!$K$4:$K$20,0),MATCH('A.일산테크노밸리(859991)_수정'!DK$44,고양시_재차인원!$K$4:$O$4,0))</f>
        <v>3.4816752619895288E-4</v>
      </c>
      <c r="DL53" s="267">
        <f>INDEX($BC$43:$BP$56,MATCH($CW53,$L$43:$L$56,0),MATCH(DL$44,$BC$44:$BP$44,0))/INDEX(고양시_재차인원!$K$4:$O$20,MATCH("경기도",고양시_재차인원!$K$4:$K$20,0),MATCH('A.일산테크노밸리(859991)_수정'!DL$44,고양시_재차인원!$K$4:$O$4,0))</f>
        <v>2.3211168413263521E-4</v>
      </c>
      <c r="DM53" s="267">
        <f>INDEX($BC$43:$BP$56,MATCH($CW53,$L$43:$L$56,0),MATCH(DM$44,$BC$44:$BP$44,0))/INDEX(고양시_재차인원!$K$4:$O$20,MATCH("경기도",고양시_재차인원!$K$4:$K$20,0),MATCH('A.일산테크노밸리(859991)_수정'!DM$44,고양시_재차인원!$K$4:$O$4,0))</f>
        <v>9.5644001760747854E-4</v>
      </c>
      <c r="DN53" s="268">
        <f>INDEX($BQ$43:$CD$56,MATCH($CW53,$L$43:$L$56,0),MATCH(DN$44,$BQ$44:$CD$44,0))/INDEX(고양시_재차인원!$D$4:$H$35,MATCH("고양시",고양시_재차인원!$B$4:$B$35,0),MATCH('A.일산테크노밸리(859991)_수정'!$DN$43,고양시_재차인원!$D$4:$H$4,0))</f>
        <v>0.2601245177377724</v>
      </c>
      <c r="DO53" s="267">
        <f>INDEX($BQ$43:$CD$56,MATCH($CW53,$L$43:$L$56,0),MATCH(DO$44,$BQ$44:$CD$44,0))/INDEX(고양시_재차인원!$K$4:$O$20,MATCH("경기도",고양시_재차인원!$K$4:$K$20,0),MATCH('A.일산테크노밸리(859991)_수정'!DO$44,고양시_재차인원!$K$4:$O$4,0))</f>
        <v>1.0384921536310851E-3</v>
      </c>
      <c r="DP53" s="267">
        <f>INDEX($BQ$43:$CD$56,MATCH($CW53,$L$43:$L$56,0),MATCH(DP$44,$BQ$44:$CD$44,0))/INDEX(고양시_재차인원!$K$4:$O$20,MATCH("경기도",고양시_재차인원!$K$4:$K$20,0),MATCH('A.일산테크노밸리(859991)_수정'!DP$44,고양시_재차인원!$K$4:$O$4,0))</f>
        <v>3.4684523270648235E-3</v>
      </c>
      <c r="DQ53" s="267">
        <f>INDEX($BQ$43:$CD$56,MATCH($CW53,$L$43:$L$56,0),MATCH(DQ$44,$BQ$44:$CD$44,0))/INDEX(고양시_재차인원!$K$4:$O$20,MATCH("경기도",고양시_재차인원!$K$4:$K$20,0),MATCH('A.일산테크노밸리(859991)_수정'!DQ$44,고양시_재차인원!$K$4:$O$4,0))</f>
        <v>2.4959728529668759E-4</v>
      </c>
      <c r="DR53" s="269">
        <f t="shared" si="26"/>
        <v>481.60231015675316</v>
      </c>
      <c r="DS53" s="270">
        <f t="shared" si="20"/>
        <v>3.7806119436961235E-3</v>
      </c>
      <c r="DT53" s="270">
        <f t="shared" si="21"/>
        <v>2.1639308416158638</v>
      </c>
      <c r="DU53" s="270">
        <f t="shared" si="22"/>
        <v>53.619433731443152</v>
      </c>
      <c r="DW53" s="278"/>
      <c r="DX53" s="278" t="s">
        <v>481</v>
      </c>
      <c r="DY53" s="281">
        <f>DR55+DU55</f>
        <v>90.341648624896706</v>
      </c>
      <c r="DZ53" s="281">
        <f>DS55+DT55</f>
        <v>0.36589437685205523</v>
      </c>
      <c r="EC53" s="412" t="s">
        <v>15</v>
      </c>
      <c r="ED53" s="412" t="s">
        <v>573</v>
      </c>
      <c r="EE53" s="412">
        <v>21685.084499999997</v>
      </c>
      <c r="EF53" s="412">
        <v>0.10071399380839066</v>
      </c>
      <c r="EG53" s="413">
        <v>859009</v>
      </c>
      <c r="EH53" s="414">
        <f t="shared" si="29"/>
        <v>745.35815453484042</v>
      </c>
      <c r="EI53" s="415">
        <f t="shared" si="30"/>
        <v>3.0187888049008365</v>
      </c>
      <c r="EJ53" s="402">
        <v>0</v>
      </c>
      <c r="EM53" s="278" t="s">
        <v>15</v>
      </c>
      <c r="EN53" s="278" t="s">
        <v>573</v>
      </c>
      <c r="EO53" s="278">
        <v>21685.084499999997</v>
      </c>
      <c r="EP53" s="278">
        <v>0.10071399380839066</v>
      </c>
      <c r="EQ53" s="289">
        <v>859009</v>
      </c>
      <c r="ER53" s="290">
        <f t="shared" si="31"/>
        <v>745.35815453484042</v>
      </c>
      <c r="ES53" s="291">
        <f t="shared" si="23"/>
        <v>3.0187888049008365</v>
      </c>
      <c r="ET53" s="402">
        <v>0</v>
      </c>
      <c r="EV53" s="34"/>
      <c r="EW53" s="34"/>
      <c r="EX53" s="34"/>
      <c r="EY53" s="34"/>
      <c r="EZ53" s="378"/>
      <c r="FA53" s="401"/>
      <c r="FB53" s="402"/>
      <c r="FC53" s="402"/>
    </row>
    <row r="54" spans="1:159" ht="16.5" customHeight="1">
      <c r="A54" s="205"/>
      <c r="B54" s="205" t="s">
        <v>144</v>
      </c>
      <c r="C54" s="400">
        <f>'A.일산테크노밸리(859991)_수정'!$P37*KTDB_TripDistribution_2045!L$12 * (1 + KTDB_발생량도착량_증가율!$D$7*5) * (1 + KTDB_발생량도착량_증가율!$E$7*5) * (1 + KTDB_발생량도착량_증가율!$F$7*5) * (1 + KTDB_발생량도착량_증가율!$G$7*5)</f>
        <v>108.11155196121474</v>
      </c>
      <c r="D54" s="400">
        <f>'A.일산테크노밸리(859991)_수정'!$P37*KTDB_TripDistribution_2045!M$12 * (1 + KTDB_발생량도착량_증가율!$D$7*5) * (1 + KTDB_발생량도착량_증가율!$E$7*5) * (1 + KTDB_발생량도착량_증가율!$F$7*5) * (1 + KTDB_발생량도착량_증가율!$G$7*5)</f>
        <v>840.68984516965509</v>
      </c>
      <c r="E54" s="400">
        <f>'A.일산테크노밸리(859991)_수정'!$P37*KTDB_TripDistribution_2045!N$12 * (1 + KTDB_발생량도착량_증가율!$D$7*5) * (1 + KTDB_발생량도착량_증가율!$E$7*5) * (1 + KTDB_발생량도착량_증가율!$F$7*5) * (1 + KTDB_발생량도착량_증가율!$G$7*5)</f>
        <v>37.26387423495666</v>
      </c>
      <c r="F54" s="400">
        <f>'A.일산테크노밸리(859991)_수정'!$P37*KTDB_TripDistribution_2045!O$12 * (1 + KTDB_발생량도착량_증가율!$D$7*5) * (1 + KTDB_발생량도착량_증가율!$E$7*5) * (1 + KTDB_발생량도착량_증가율!$F$7*5) * (1 + KTDB_발생량도착량_증가율!$G$7*5)</f>
        <v>0.10105457419649286</v>
      </c>
      <c r="G54" s="400">
        <f>'A.일산테크노밸리(859991)_수정'!$P37*KTDB_TripDistribution_2045!P$12 * (1 + KTDB_발생량도착량_증가율!$D$7*5) * (1 + KTDB_발생량도착량_증가율!$E$7*5) * (1 + KTDB_발생량도착량_증가율!$F$7*5) * (1 + KTDB_발생량도착량_증가율!$G$7*5)</f>
        <v>0.28632129355672875</v>
      </c>
      <c r="H54" s="400">
        <f>'A.일산테크노밸리(859991)_수정'!$P37*KTDB_TripDistribution_2045!Q$12 * (1 + KTDB_발생량도착량_증가율!$D$7*5) * (1 + KTDB_발생량도착량_증가율!$E$7*5) * (1 + KTDB_발생량도착량_증가율!$F$7*5) * (1 + KTDB_발생량도착량_증가율!$G$7*5)</f>
        <v>986.4526472335798</v>
      </c>
      <c r="J54" s="230">
        <f t="shared" si="6"/>
        <v>986.4526472335798</v>
      </c>
      <c r="K54" s="206"/>
      <c r="L54" s="209" t="s">
        <v>24</v>
      </c>
      <c r="M54" s="213">
        <f>INDEX($A$44:$H$56,MATCH($L54,$B$44:$B$56,0),MATCH($M$43,$A$44:$H$44,0))*고양시_Modal_split!C$3 * 0.01</f>
        <v>0.30271234549140125</v>
      </c>
      <c r="N54" s="207">
        <f>INDEX($A$44:$H$56,MATCH($L54,$B$44:$B$56,0),MATCH($M$43,$A$44:$H$44,0))*고양시_Modal_split!D$3 * 0.01</f>
        <v>50.844862887359298</v>
      </c>
      <c r="O54" s="207">
        <f>INDEX($A$44:$H$56,MATCH($L54,$B$44:$B$56,0),MATCH($M$43,$A$44:$H$44,0))*고양시_Modal_split!E$3 * 0.01</f>
        <v>6.1515473065931188</v>
      </c>
      <c r="P54" s="207">
        <f>INDEX($A$44:$H$56,MATCH($L54,$B$44:$B$56,0),MATCH($M$43,$A$44:$H$44,0))*고양시_Modal_split!F$3 * 0.01</f>
        <v>9.913829314843392</v>
      </c>
      <c r="Q54" s="207">
        <f>INDEX($A$44:$H$56,MATCH($L54,$B$44:$B$56,0),MATCH($M$43,$A$44:$H$44,0))*고양시_Modal_split!G$3 * 0.01</f>
        <v>0.9946262780431756</v>
      </c>
      <c r="R54" s="207">
        <f>INDEX($A$44:$H$56,MATCH($L54,$B$44:$B$56,0),MATCH($M$43,$A$44:$H$44,0))*고양시_Modal_split!H$3 * 0.01</f>
        <v>1.0811155196121474E-2</v>
      </c>
      <c r="S54" s="207">
        <f>INDEX($A$44:$H$56,MATCH($L54,$B$44:$B$56,0),MATCH($M$43,$A$44:$H$44,0))*고양시_Modal_split!I$3 * 0.01</f>
        <v>3.0055011445217694</v>
      </c>
      <c r="T54" s="207">
        <f>INDEX($A$44:$H$56,MATCH($L54,$B$44:$B$56,0),MATCH($M$43,$A$44:$H$44,0))*고양시_Modal_split!J$3 * 0.01</f>
        <v>32.909156416993767</v>
      </c>
      <c r="U54" s="207">
        <f>INDEX($A$44:$H$56,MATCH($L54,$B$44:$B$56,0),MATCH($M$43,$A$44:$H$44,0))*고양시_Modal_split!K$3 * 0.01</f>
        <v>0.16216732794182209</v>
      </c>
      <c r="V54" s="207">
        <f>INDEX($A$44:$H$56,MATCH($L54,$B$44:$B$56,0),MATCH($M$43,$A$44:$H$44,0))*고양시_Modal_split!L$3 * 0.01</f>
        <v>3.2649688692286856</v>
      </c>
      <c r="W54" s="207">
        <f>INDEX($A$44:$H$56,MATCH($L54,$B$44:$B$56,0),MATCH($M$43,$A$44:$H$44,0))*고양시_Modal_split!M$3 * 0.01</f>
        <v>0.2486565695107939</v>
      </c>
      <c r="X54" s="207">
        <f>INDEX($A$44:$H$56,MATCH($L54,$B$44:$B$56,0),MATCH($M$43,$A$44:$H$44,0))*고양시_Modal_split!N$3 * 0.01</f>
        <v>0.10811155196121476</v>
      </c>
      <c r="Y54" s="207">
        <f>INDEX($A$44:$H$56,MATCH($L54,$B$44:$B$56,0),MATCH($M$43,$A$44:$H$44,0))*고양시_Modal_split!O$3 * 0.01</f>
        <v>0.19460079353018653</v>
      </c>
      <c r="Z54" s="214">
        <f>INDEX($A$44:$H$56,MATCH($L54,$B$44:$B$56,0),MATCH($M$43,$A$44:$H$44,0))*고양시_Modal_split!P$3 * 0.01</f>
        <v>108.11155196121474</v>
      </c>
      <c r="AA54" s="213">
        <f>INDEX($A$44:$H$56,MATCH($L54,$B$44:$B$56,0),MATCH($AA$43,$A$44:$H$44,0))*고양시_Modal_split!C$4 * 0.01</f>
        <v>255.90598886964301</v>
      </c>
      <c r="AB54" s="207">
        <f>INDEX($A$44:$H$56,MATCH($L54,$B$44:$B$56,0),MATCH($AA$43,$A$44:$H$44,0))*고양시_Modal_split!D$4 * 0.01</f>
        <v>269.60923334590842</v>
      </c>
      <c r="AC54" s="207">
        <f>INDEX($A$44:$H$56,MATCH($L54,$B$44:$B$56,0),MATCH($AA$43,$A$44:$H$44,0))*고양시_Modal_split!E$4 * 0.01</f>
        <v>65.321600969682208</v>
      </c>
      <c r="AD54" s="207">
        <f>INDEX($A$44:$H$56,MATCH($L54,$B$44:$B$56,0),MATCH($AA$43,$A$44:$H$44,0))*고양시_Modal_split!F$4 * 0.01</f>
        <v>7.9865535291117231</v>
      </c>
      <c r="AE54" s="207">
        <f>INDEX($A$44:$H$56,MATCH($L54,$B$44:$B$56,0),MATCH($AA$43,$A$44:$H$44,0))*고양시_Modal_split!G$4 * 0.01</f>
        <v>98.44478086936661</v>
      </c>
      <c r="AF54" s="207">
        <f>INDEX($A$44:$H$56,MATCH($L54,$B$44:$B$56,0),MATCH($AA$43,$A$44:$H$44,0))*고양시_Modal_split!H$4 * 0.01</f>
        <v>0</v>
      </c>
      <c r="AG54" s="207">
        <f>INDEX($A$44:$H$56,MATCH($L54,$B$44:$B$56,0),MATCH($AA$43,$A$44:$H$44,0))*고양시_Modal_split!I$4 * 0.01</f>
        <v>29.256006611903995</v>
      </c>
      <c r="AH54" s="207">
        <f>INDEX($A$44:$H$56,MATCH($L54,$B$44:$B$56,0),MATCH($AA$43,$A$44:$H$44,0))*고양시_Modal_split!J$4 * 0.01</f>
        <v>39.596491707490756</v>
      </c>
      <c r="AI54" s="207">
        <f>INDEX($A$44:$H$56,MATCH($L54,$B$44:$B$56,0),MATCH($AA$43,$A$44:$H$44,0))*고양시_Modal_split!K$4 * 0.01</f>
        <v>0</v>
      </c>
      <c r="AJ54" s="207">
        <f>INDEX($A$44:$H$56,MATCH($L54,$B$44:$B$56,0),MATCH($AA$43,$A$44:$H$44,0))*고양시_Modal_split!L$4 * 0.01</f>
        <v>38.839870846838068</v>
      </c>
      <c r="AK54" s="207">
        <f>INDEX($A$44:$H$56,MATCH($L54,$B$44:$B$56,0),MATCH($AA$43,$A$44:$H$44,0))*고양시_Modal_split!M$4 * 0.01</f>
        <v>5.6326219626366889</v>
      </c>
      <c r="AL54" s="207">
        <f>INDEX($A$44:$H$56,MATCH($L54,$B$44:$B$56,0),MATCH($AA$43,$A$44:$H$44,0))*고양시_Modal_split!N$4 * 0.01</f>
        <v>21.017246129241375</v>
      </c>
      <c r="AM54" s="207">
        <f>INDEX($A$44:$H$56,MATCH($L54,$B$44:$B$56,0),MATCH($AA$43,$A$44:$H$44,0))*고양시_Modal_split!O$4 * 0.01</f>
        <v>9.0794503278322765</v>
      </c>
      <c r="AN54" s="214">
        <f>INDEX($A$44:$H$56,MATCH($L54,$B$44:$B$56,0),MATCH($AA$43,$A$44:$H$44,0))*고양시_Modal_split!P$4 * 0.01</f>
        <v>840.68984516965509</v>
      </c>
      <c r="AO54" s="213">
        <f>INDEX($A$44:$H$56,MATCH($L54,$B$44:$B$56,0),MATCH($AO$43,$A$44:$H$44,0))*고양시_Modal_split!C$5 * 0.01</f>
        <v>2.2358324540973997E-2</v>
      </c>
      <c r="AP54" s="207">
        <f>INDEX($A$44:$H$56,MATCH($L54,$B$44:$B$56,0),MATCH($AO$43,$A$44:$H$44,0))*고양시_Modal_split!D$5 * 0.01</f>
        <v>27.306967039376243</v>
      </c>
      <c r="AQ54" s="207">
        <f>INDEX($A$44:$H$56,MATCH($L54,$B$44:$B$56,0),MATCH($AO$43,$A$44:$H$44,0))*고양시_Modal_split!E$5 * 0.01</f>
        <v>3.6704916121432309</v>
      </c>
      <c r="AR54" s="207">
        <f>INDEX($A$44:$H$56,MATCH($L54,$B$44:$B$56,0),MATCH($AO$43,$A$44:$H$44,0))*고양시_Modal_split!F$5 * 0.01</f>
        <v>0.78254135893408983</v>
      </c>
      <c r="AS54" s="207">
        <f>INDEX($A$44:$H$56,MATCH($L54,$B$44:$B$56,0),MATCH($AO$43,$A$44:$H$44,0))*고양시_Modal_split!G$5 * 0.01</f>
        <v>0.2422151825272183</v>
      </c>
      <c r="AT54" s="207">
        <f>INDEX($A$44:$H$56,MATCH($L54,$B$44:$B$56,0),MATCH($AO$43,$A$44:$H$44,0))*고양시_Modal_split!H$5 * 0.01</f>
        <v>2.608471196446966E-2</v>
      </c>
      <c r="AU54" s="207">
        <f>INDEX($A$44:$H$56,MATCH($L54,$B$44:$B$56,0),MATCH($AO$43,$A$44:$H$44,0))*고양시_Modal_split!I$5 * 0.01</f>
        <v>1.0322093163082995</v>
      </c>
      <c r="AV54" s="207">
        <f>INDEX($A$44:$H$56,MATCH($L54,$B$44:$B$56,0),MATCH($AO$43,$A$44:$H$44,0))*고양시_Modal_split!J$5 * 0.01</f>
        <v>2.3364449145317825</v>
      </c>
      <c r="AW54" s="207">
        <f>INDEX($A$44:$H$56,MATCH($L54,$B$44:$B$56,0),MATCH($AO$43,$A$44:$H$44,0))*고양시_Modal_split!K$5 * 0.01</f>
        <v>7.4527748469913327E-3</v>
      </c>
      <c r="AX54" s="207">
        <f>INDEX($A$44:$H$56,MATCH($L54,$B$44:$B$56,0),MATCH($AO$43,$A$44:$H$44,0))*고양시_Modal_split!L$5 * 0.01</f>
        <v>0.95022879299139473</v>
      </c>
      <c r="AY54" s="207">
        <f>INDEX($A$44:$H$56,MATCH($L54,$B$44:$B$56,0),MATCH($AO$43,$A$44:$H$44,0))*고양시_Modal_split!M$5 * 0.01</f>
        <v>0.24966795737420963</v>
      </c>
      <c r="AZ54" s="207">
        <f>INDEX($A$44:$H$56,MATCH($L54,$B$44:$B$56,0),MATCH($AO$43,$A$44:$H$44,0))*고양시_Modal_split!N$5 * 0.01</f>
        <v>6.3348586199426321E-2</v>
      </c>
      <c r="BA54" s="207">
        <f>INDEX($A$44:$H$56,MATCH($L54,$B$44:$B$56,0),MATCH($AO$43,$A$44:$H$44,0))*고양시_Modal_split!O$5 * 0.01</f>
        <v>0.5738636632183326</v>
      </c>
      <c r="BB54" s="214">
        <f>INDEX($A$44:$H$56,MATCH($L54,$B$44:$B$56,0),MATCH($AO$43,$A$44:$H$44,0))*고양시_Modal_split!P$5 * 0.01</f>
        <v>37.26387423495666</v>
      </c>
      <c r="BC54" s="213">
        <f>INDEX($A$44:$H$56,MATCH($L54,$B$44:$B$56,0),MATCH($BC$43,$A$44:$H$44,0))*고양시_Modal_split!C$6 * 0.01</f>
        <v>0</v>
      </c>
      <c r="BD54" s="207">
        <f>INDEX($A$44:$H$56,MATCH($L54,$B$44:$B$56,0),MATCH($BC$43,$A$44:$H$44,0))*고양시_Modal_split!D$6 * 0.01</f>
        <v>8.3683292892115735E-2</v>
      </c>
      <c r="BE54" s="207">
        <f>INDEX($A$44:$H$56,MATCH($L54,$B$44:$B$56,0),MATCH($BC$43,$A$44:$H$44,0))*고양시_Modal_split!E$6 * 0.01</f>
        <v>4.3453466904491928E-4</v>
      </c>
      <c r="BF54" s="207">
        <f>INDEX($A$44:$H$56,MATCH($L54,$B$44:$B$56,0),MATCH($BC$43,$A$44:$H$44,0))*고양시_Modal_split!F$6 * 0.01</f>
        <v>1.2328658051972128E-3</v>
      </c>
      <c r="BG54" s="207">
        <f>INDEX($A$44:$H$56,MATCH($L54,$B$44:$B$56,0),MATCH($BC$43,$A$44:$H$44,0))*고양시_Modal_split!G$6 * 0.01</f>
        <v>0</v>
      </c>
      <c r="BH54" s="207">
        <f>INDEX($A$44:$H$56,MATCH($L54,$B$44:$B$56,0),MATCH($BC$43,$A$44:$H$44,0))*고양시_Modal_split!H$6 * 0.01</f>
        <v>5.3659978898337717E-3</v>
      </c>
      <c r="BI54" s="207">
        <f>INDEX($A$44:$H$56,MATCH($L54,$B$44:$B$56,0),MATCH($BC$43,$A$44:$H$44,0))*고양시_Modal_split!I$6 * 0.01</f>
        <v>3.5773319265558472E-3</v>
      </c>
      <c r="BJ54" s="207">
        <f>INDEX($A$44:$H$56,MATCH($L54,$B$44:$B$56,0),MATCH($BC$43,$A$44:$H$44,0))*고양시_Modal_split!J$6 * 0.01</f>
        <v>4.9920959653067462E-3</v>
      </c>
      <c r="BK54" s="207">
        <f>INDEX($A$44:$H$56,MATCH($L54,$B$44:$B$56,0),MATCH($BC$43,$A$44:$H$44,0))*고양시_Modal_split!K$6 * 0.01</f>
        <v>0</v>
      </c>
      <c r="BL54" s="207">
        <f>INDEX($A$44:$H$56,MATCH($L54,$B$44:$B$56,0),MATCH($BC$43,$A$44:$H$44,0))*고양시_Modal_split!L$6 * 0.01</f>
        <v>7.6801476389334574E-4</v>
      </c>
      <c r="BM54" s="207">
        <f>INDEX($A$44:$H$56,MATCH($L54,$B$44:$B$56,0),MATCH($BC$43,$A$44:$H$44,0))*고양시_Modal_split!M$6 * 0.01</f>
        <v>9.1959662518808507E-4</v>
      </c>
      <c r="BN54" s="207">
        <f>INDEX($A$44:$H$56,MATCH($L54,$B$44:$B$56,0),MATCH($BC$43,$A$44:$H$44,0))*고양시_Modal_split!N$6 * 0.01</f>
        <v>0</v>
      </c>
      <c r="BO54" s="207">
        <f>INDEX($A$44:$H$56,MATCH($L54,$B$44:$B$56,0),MATCH($BC$43,$A$44:$H$44,0))*고양시_Modal_split!O$6 * 0.01</f>
        <v>8.084365935719429E-5</v>
      </c>
      <c r="BP54" s="214">
        <f>INDEX($A$44:$H$56,MATCH($L54,$B$44:$B$56,0),MATCH($BC$43,$A$44:$H$44,0))*고양시_Modal_split!P$6 * 0.01</f>
        <v>0.10105457419649286</v>
      </c>
      <c r="BQ54" s="213">
        <f>INDEX($A$44:$H$56,MATCH($L54,$B$44:$B$56,0),MATCH($BQ$43,$A$44:$H$44,0))*고양시_Modal_split!C$7 * 0.01</f>
        <v>0</v>
      </c>
      <c r="BR54" s="207">
        <f>INDEX($A$44:$H$56,MATCH($L54,$B$44:$B$56,0),MATCH($BQ$43,$A$44:$H$44,0))*고양시_Modal_split!D$7 * 0.01</f>
        <v>0.17545768869156336</v>
      </c>
      <c r="BS54" s="207">
        <f>INDEX($A$44:$H$56,MATCH($L54,$B$44:$B$56,0),MATCH($BQ$43,$A$44:$H$44,0))*고양시_Modal_split!E$7 * 0.01</f>
        <v>8.561006677346189E-3</v>
      </c>
      <c r="BT54" s="207">
        <f>INDEX($A$44:$H$56,MATCH($L54,$B$44:$B$56,0),MATCH($BQ$43,$A$44:$H$44,0))*고양시_Modal_split!F$7 * 0.01</f>
        <v>2.8632129355672877E-3</v>
      </c>
      <c r="BU54" s="207">
        <f>INDEX($A$44:$H$56,MATCH($L54,$B$44:$B$56,0),MATCH($BQ$43,$A$44:$H$44,0))*고양시_Modal_split!G$7 * 0.01</f>
        <v>1.2025494329382608E-3</v>
      </c>
      <c r="BV54" s="207">
        <f>INDEX($A$44:$H$56,MATCH($L54,$B$44:$B$56,0),MATCH($BQ$43,$A$44:$H$44,0))*고양시_Modal_split!H$7 * 0.01</f>
        <v>1.6005360309821137E-2</v>
      </c>
      <c r="BW54" s="207">
        <f>INDEX($A$44:$H$56,MATCH($L54,$B$44:$B$56,0),MATCH($BQ$43,$A$44:$H$44,0))*고양시_Modal_split!I$7 * 0.01</f>
        <v>5.3456185507041259E-2</v>
      </c>
      <c r="BX54" s="207">
        <f>INDEX($A$44:$H$56,MATCH($L54,$B$44:$B$56,0),MATCH($BQ$43,$A$44:$H$44,0))*고양시_Modal_split!J$7 * 0.01</f>
        <v>5.7264258711345755E-5</v>
      </c>
      <c r="BY54" s="207">
        <f>INDEX($A$44:$H$56,MATCH($L54,$B$44:$B$56,0),MATCH($BQ$43,$A$44:$H$44,0))*고양시_Modal_split!K$7 * 0.01</f>
        <v>2.2046739603868114E-2</v>
      </c>
      <c r="BZ54" s="207">
        <f>INDEX($A$44:$H$56,MATCH($L54,$B$44:$B$56,0),MATCH($BQ$43,$A$44:$H$44,0))*고양시_Modal_split!L$7 * 0.01</f>
        <v>2.0042490548971011E-4</v>
      </c>
      <c r="CA54" s="207">
        <f>INDEX($A$44:$H$56,MATCH($L54,$B$44:$B$56,0),MATCH($BQ$43,$A$44:$H$44,0))*고양시_Modal_split!M$7 * 0.01</f>
        <v>5.354208189510829E-3</v>
      </c>
      <c r="CB54" s="207">
        <f>INDEX($A$44:$H$56,MATCH($L54,$B$44:$B$56,0),MATCH($BQ$43,$A$44:$H$44,0))*고양시_Modal_split!N$7 * 0.01</f>
        <v>1.1166530448712419E-3</v>
      </c>
      <c r="CC54" s="207">
        <f>INDEX($A$44:$H$56,MATCH($L54,$B$44:$B$56,0),MATCH($BQ$43,$A$44:$H$44,0))*고양시_Modal_split!O$7 * 0.01</f>
        <v>0</v>
      </c>
      <c r="CD54" s="214">
        <f>INDEX($A$44:$H$56,MATCH($L54,$B$44:$B$56,0),MATCH($BQ$43,$A$44:$H$44,0))*고양시_Modal_split!P$7 * 0.01</f>
        <v>0.28632129355672875</v>
      </c>
      <c r="CE54" s="218">
        <f t="shared" si="24"/>
        <v>256.23105953967536</v>
      </c>
      <c r="CF54" s="208">
        <f t="shared" si="7"/>
        <v>348.02020425422756</v>
      </c>
      <c r="CG54" s="208">
        <f t="shared" si="8"/>
        <v>75.152635429764942</v>
      </c>
      <c r="CH54" s="208">
        <f t="shared" si="9"/>
        <v>18.687020281629966</v>
      </c>
      <c r="CI54" s="208">
        <f t="shared" si="10"/>
        <v>99.682824879369932</v>
      </c>
      <c r="CJ54" s="208">
        <f t="shared" si="11"/>
        <v>5.8267225360246047E-2</v>
      </c>
      <c r="CK54" s="208">
        <f t="shared" si="12"/>
        <v>33.350750590167657</v>
      </c>
      <c r="CL54" s="208">
        <f t="shared" si="13"/>
        <v>74.847142399240326</v>
      </c>
      <c r="CM54" s="208">
        <f t="shared" si="14"/>
        <v>0.19166684239268153</v>
      </c>
      <c r="CN54" s="208">
        <f t="shared" si="15"/>
        <v>43.056036948727531</v>
      </c>
      <c r="CO54" s="208">
        <f t="shared" si="16"/>
        <v>6.1372202943363909</v>
      </c>
      <c r="CP54" s="208">
        <f t="shared" si="17"/>
        <v>21.18982292044689</v>
      </c>
      <c r="CQ54" s="208">
        <f t="shared" si="18"/>
        <v>9.8479956282401542</v>
      </c>
      <c r="CR54" s="219">
        <f t="shared" si="19"/>
        <v>986.4526472335798</v>
      </c>
      <c r="CS54" s="225">
        <f t="shared" si="25"/>
        <v>0</v>
      </c>
      <c r="CV54" s="265"/>
      <c r="CW54" s="266" t="s">
        <v>24</v>
      </c>
      <c r="CX54" s="267">
        <f>INDEX($M$43:$Z$56,MATCH($CW54,$L$43:$L$56,0),MATCH(CX$44,$M$44:$Z$44,0))/INDEX(고양시_재차인원!$D$4:$H$35,MATCH("고양시",고양시_재차인원!$B$4:$B$35,0),MATCH('A.일산테크노밸리(859991)_수정'!$CX$43,고양시_재차인원!$D$4:$H$4,0))</f>
        <v>45.397199006570794</v>
      </c>
      <c r="CY54" s="267">
        <f>INDEX($M$43:$Z$56,MATCH($CW54,$L$43:$L$56,0),MATCH(CY$44,$M$44:$Z$44,0))/INDEX(고양시_재차인원!$K$4:$O$20,MATCH("경기도",고양시_재차인원!$K$4:$K$20,0),MATCH('A.일산테크노밸리(859991)_수정'!CY$44,고양시_재차인원!$K$4:$O$4,0))</f>
        <v>3.7551772129633463E-4</v>
      </c>
      <c r="CZ54" s="267">
        <f>INDEX($M$43:$Z$56,MATCH($CW54,$L$43:$L$56,0),MATCH(CZ$44,$M$44:$Z$44,0))/INDEX(고양시_재차인원!$K$4:$O$20,MATCH("경기도",고양시_재차인원!$K$4:$K$20,0),MATCH('A.일산테크노밸리(859991)_수정'!CZ$44,고양시_재차인원!$K$4:$O$4,0))</f>
        <v>0.10439392652038101</v>
      </c>
      <c r="DA54" s="267">
        <f>INDEX($M$43:$Z$56,MATCH($CW54,$L$43:$L$56,0),MATCH(DA$44,$M$44:$Z$44,0))/INDEX(고양시_재차인원!$K$4:$O$20,MATCH("경기도",고양시_재차인원!$K$4:$K$20,0),MATCH('A.일산테크노밸리(859991)_수정'!DA$44,고양시_재차인원!$K$4:$O$4,0))</f>
        <v>2.1766459128191236</v>
      </c>
      <c r="DB54" s="268">
        <f>INDEX($AA$43:$AN$56,MATCH($CW54,$L$43:$L$56,0),MATCH(DB$44,$AA$44:$AN$44,0))/INDEX(고양시_재차인원!$D$4:$H$35,MATCH("고양시",고양시_재차인원!$B$4:$B$35,0),MATCH('A.일산테크노밸리(859991)_수정'!$DB$43,고양시_재차인원!$D$4:$H$4,0))</f>
        <v>191.21222223114074</v>
      </c>
      <c r="DC54" s="267">
        <f>INDEX($AA$43:$AN$56,MATCH($CW54,$L$43:$L$56,0),MATCH(DC$44,$AA$44:$AN$44,0))/INDEX(고양시_재차인원!$K$4:$O$20,MATCH("경기도",고양시_재차인원!$K$4:$K$20,0),MATCH('A.일산테크노밸리(859991)_수정'!DC$44,고양시_재차인원!$K$4:$O$4,0))</f>
        <v>0</v>
      </c>
      <c r="DD54" s="267">
        <f>INDEX($AA$43:$AN$56,MATCH($CW54,$L$43:$L$56,0),MATCH(DD$44,$AA$44:$AN$44,0))/INDEX(고양시_재차인원!$K$4:$O$20,MATCH("경기도",고양시_재차인원!$K$4:$K$20,0),MATCH('A.일산테크노밸리(859991)_수정'!DD$44,고양시_재차인원!$K$4:$O$4,0))</f>
        <v>1.0161864054152134</v>
      </c>
      <c r="DE54" s="267">
        <f>INDEX($AA$43:$AN$56,MATCH($CW54,$L$43:$L$56,0),MATCH(DE$44,$AA$44:$AN$44,0))/INDEX(고양시_재차인원!$K$4:$O$20,MATCH("경기도",고양시_재차인원!$K$4:$K$20,0),MATCH('A.일산테크노밸리(859991)_수정'!DE$44,고양시_재차인원!$K$4:$O$4,0))</f>
        <v>25.893247231225377</v>
      </c>
      <c r="DF54" s="268">
        <f>INDEX($AO$43:$BB$56,MATCH($CW54,$L$43:$L$56,0),MATCH(DF$44,$AO$44:$BB$44,0))/INDEX(고양시_재차인원!$D$4:$H$35,MATCH("고양시",고양시_재차인원!$B$4:$B$35,0),MATCH('A.일산테크노밸리(859991)_수정'!$DF$43,고양시_재차인원!$D$4:$H$4,0))</f>
        <v>21.005359261058647</v>
      </c>
      <c r="DG54" s="267">
        <f>INDEX($AO$43:$BB$56,MATCH($CW54,$L$43:$L$56,0),MATCH(DG$44,$AO$44:$BB$44,0))/INDEX(고양시_재차인원!$K$4:$O$20,MATCH("경기도",고양시_재차인원!$K$4:$K$20,0),MATCH('A.일산테크노밸리(859991)_수정'!DG$44,고양시_재차인원!$K$4:$O$4,0))</f>
        <v>9.0603376048869956E-4</v>
      </c>
      <c r="DH54" s="267">
        <f>INDEX($AO$43:$BB$56,MATCH($CW54,$L$43:$L$56,0),MATCH(DH$44,$AO$44:$BB$44,0))/INDEX(고양시_재차인원!$K$4:$O$20,MATCH("경기도",고양시_재차인원!$K$4:$K$20,0),MATCH('A.일산테크노밸리(859991)_수정'!DH$44,고양시_재차인원!$K$4:$O$4,0))</f>
        <v>3.5853050236481401E-2</v>
      </c>
      <c r="DI54" s="267">
        <f>INDEX($AO$43:$BB$56,MATCH($CW54,$L$43:$L$56,0),MATCH(DI$44,$AO$44:$BB$44,0))/INDEX(고양시_재차인원!$K$4:$O$20,MATCH("경기도",고양시_재차인원!$K$4:$K$20,0),MATCH('A.일산테크노밸리(859991)_수정'!DI$44,고양시_재차인원!$K$4:$O$4,0))</f>
        <v>0.63348586199426316</v>
      </c>
      <c r="DJ54" s="268">
        <f>INDEX($BC$43:$BP$56,MATCH($CW54,$L$43:$L$56,0),MATCH(DJ$44,$BC$44:$BP$44,0))/INDEX(고양시_재차인원!$D$4:$H$35,MATCH("고양시",고양시_재차인원!$B$4:$B$35,0),MATCH('A.일산테크노밸리(859991)_수정'!$DJ$43,고양시_재차인원!$D$4:$H$4,0))</f>
        <v>6.1531833008908625E-2</v>
      </c>
      <c r="DK54" s="267">
        <f>INDEX($BC$43:$BP$56,MATCH($CW54,$L$43:$L$56,0),MATCH(DK$44,$BC$44:$BP$44,0))/INDEX(고양시_재차인원!$K$4:$O$20,MATCH("경기도",고양시_재차인원!$K$4:$K$20,0),MATCH('A.일산테크노밸리(859991)_수정'!DK$44,고양시_재차인원!$K$4:$O$4,0))</f>
        <v>1.8638408787196152E-4</v>
      </c>
      <c r="DL54" s="267">
        <f>INDEX($BC$43:$BP$56,MATCH($CW54,$L$43:$L$56,0),MATCH(DL$44,$BC$44:$BP$44,0))/INDEX(고양시_재차인원!$K$4:$O$20,MATCH("경기도",고양시_재차인원!$K$4:$K$20,0),MATCH('A.일산테크노밸리(859991)_수정'!DL$44,고양시_재차인원!$K$4:$O$4,0))</f>
        <v>1.2425605858130766E-4</v>
      </c>
      <c r="DM54" s="267">
        <f>INDEX($BC$43:$BP$56,MATCH($CW54,$L$43:$L$56,0),MATCH(DM$44,$BC$44:$BP$44,0))/INDEX(고양시_재차인원!$K$4:$O$20,MATCH("경기도",고양시_재차인원!$K$4:$K$20,0),MATCH('A.일산테크노밸리(859991)_수정'!DM$44,고양시_재차인원!$K$4:$O$4,0))</f>
        <v>5.1200984259556386E-4</v>
      </c>
      <c r="DN54" s="268">
        <f>INDEX($BQ$43:$CD$56,MATCH($CW54,$L$43:$L$56,0),MATCH(DN$44,$BQ$44:$CD$44,0))/INDEX(고양시_재차인원!$D$4:$H$35,MATCH("고양시",고양시_재차인원!$B$4:$B$35,0),MATCH('A.일산테크노밸리(859991)_수정'!$DN$43,고양시_재차인원!$D$4:$H$4,0))</f>
        <v>0.13925213388219315</v>
      </c>
      <c r="DO54" s="267">
        <f>INDEX($BQ$43:$CD$56,MATCH($CW54,$L$43:$L$56,0),MATCH(DO$44,$BQ$44:$CD$44,0))/INDEX(고양시_재차인원!$K$4:$O$20,MATCH("경기도",고양시_재차인원!$K$4:$K$20,0),MATCH('A.일산테크노밸리(859991)_수정'!DO$44,고양시_재차인원!$K$4:$O$4,0))</f>
        <v>5.5593471030986931E-4</v>
      </c>
      <c r="DP54" s="267">
        <f>INDEX($BQ$43:$CD$56,MATCH($CW54,$L$43:$L$56,0),MATCH(DP$44,$BQ$44:$CD$44,0))/INDEX(고양시_재차인원!$K$4:$O$20,MATCH("경기도",고양시_재차인원!$K$4:$K$20,0),MATCH('A.일산테크노밸리(859991)_수정'!DP$44,고양시_재차인원!$K$4:$O$4,0))</f>
        <v>1.8567622614463794E-3</v>
      </c>
      <c r="DQ54" s="267">
        <f>INDEX($BQ$43:$CD$56,MATCH($CW54,$L$43:$L$56,0),MATCH(DQ$44,$BQ$44:$CD$44,0))/INDEX(고양시_재차인원!$K$4:$O$20,MATCH("경기도",고양시_재차인원!$K$4:$K$20,0),MATCH('A.일산테크노밸리(859991)_수정'!DQ$44,고양시_재차인원!$K$4:$O$4,0))</f>
        <v>1.3361660365980674E-4</v>
      </c>
      <c r="DR54" s="269">
        <f t="shared" si="26"/>
        <v>257.81556446566128</v>
      </c>
      <c r="DS54" s="270">
        <f t="shared" si="20"/>
        <v>2.0238702799668653E-3</v>
      </c>
      <c r="DT54" s="270">
        <f t="shared" si="21"/>
        <v>1.1584144004921035</v>
      </c>
      <c r="DU54" s="270">
        <f t="shared" si="22"/>
        <v>28.704024632485016</v>
      </c>
      <c r="DW54" s="278"/>
      <c r="DX54" s="278"/>
      <c r="DY54" s="281">
        <f>DR56+DU56</f>
        <v>10781.120230666458</v>
      </c>
      <c r="DZ54" s="281">
        <f>DS56+DT56</f>
        <v>43.664813832937718</v>
      </c>
      <c r="EC54" s="412" t="s">
        <v>15</v>
      </c>
      <c r="ED54" s="412" t="s">
        <v>574</v>
      </c>
      <c r="EE54" s="412">
        <v>10018.5584</v>
      </c>
      <c r="EF54" s="412">
        <v>4.6530094391220855E-2</v>
      </c>
      <c r="EG54" s="413">
        <v>859010</v>
      </c>
      <c r="EH54" s="414">
        <f t="shared" si="29"/>
        <v>344.35716402781475</v>
      </c>
      <c r="EI54" s="415">
        <f t="shared" si="30"/>
        <v>1.3946872994276429</v>
      </c>
      <c r="EJ54" s="402">
        <v>0</v>
      </c>
      <c r="EM54" s="278" t="s">
        <v>15</v>
      </c>
      <c r="EN54" s="278" t="s">
        <v>574</v>
      </c>
      <c r="EO54" s="278">
        <v>10018.5584</v>
      </c>
      <c r="EP54" s="278">
        <v>4.6530094391220855E-2</v>
      </c>
      <c r="EQ54" s="289">
        <v>859010</v>
      </c>
      <c r="ER54" s="290">
        <f t="shared" si="31"/>
        <v>344.35716402781475</v>
      </c>
      <c r="ES54" s="291">
        <f t="shared" si="23"/>
        <v>1.3946872994276429</v>
      </c>
      <c r="ET54" s="402">
        <v>0</v>
      </c>
      <c r="EV54" s="34"/>
      <c r="EW54" s="34"/>
      <c r="EX54" s="34"/>
      <c r="EY54" s="34"/>
      <c r="EZ54" s="378"/>
      <c r="FA54" s="401"/>
      <c r="FB54" s="402"/>
      <c r="FC54" s="402"/>
    </row>
    <row r="55" spans="1:159" ht="16.5" customHeight="1">
      <c r="A55" s="205"/>
      <c r="B55" s="205" t="s">
        <v>145</v>
      </c>
      <c r="C55" s="400">
        <f>'A.일산테크노밸리(859991)_수정'!$P38*KTDB_TripDistribution_2045!L$12 * (1 + KTDB_발생량도착량_증가율!$D$7*5) * (1 + KTDB_발생량도착량_증가율!$E$7*5) * (1 + KTDB_발생량도착량_증가율!$F$7*5) * (1 + KTDB_발생량도착량_증가율!$G$7*5)</f>
        <v>34.088335357156623</v>
      </c>
      <c r="D55" s="400">
        <f>'A.일산테크노밸리(859991)_수정'!$P38*KTDB_TripDistribution_2045!M$12 * (1 + KTDB_발생량도착량_증가율!$D$7*5) * (1 + KTDB_발생량도착량_증가율!$E$7*5) * (1 + KTDB_발생량도착량_증가율!$F$7*5) * (1 + KTDB_발생량도착량_증가율!$G$7*5)</f>
        <v>265.07544155670149</v>
      </c>
      <c r="E55" s="400">
        <f>'A.일산테크노밸리(859991)_수정'!$P38*KTDB_TripDistribution_2045!N$12 * (1 + KTDB_발생량도착량_증가율!$D$7*5) * (1 + KTDB_발생량도착량_증가율!$E$7*5) * (1 + KTDB_발생량도착량_증가율!$F$7*5) * (1 + KTDB_발생량도착량_증가율!$G$7*5)</f>
        <v>11.749562545210898</v>
      </c>
      <c r="F55" s="400">
        <f>'A.일산테크노밸리(859991)_수정'!$P38*KTDB_TripDistribution_2045!O$12 * (1 + KTDB_발생량도착량_증가율!$D$7*5) * (1 + KTDB_발생량도착량_증가율!$E$7*5) * (1 + KTDB_발생량도착량_증가율!$F$7*5) * (1 + KTDB_발생량도착량_증가율!$G$7*5)</f>
        <v>3.1863220461588938E-2</v>
      </c>
      <c r="G55" s="400">
        <f>'A.일산테크노밸리(859991)_수정'!$P38*KTDB_TripDistribution_2045!P$12 * (1 + KTDB_발생량도착량_증가율!$D$7*5) * (1 + KTDB_발생량도착량_증가율!$E$7*5) * (1 + KTDB_발생량도착량_증가율!$F$7*5) * (1 + KTDB_발생량도착량_증가율!$G$7*5)</f>
        <v>9.0279124641168385E-2</v>
      </c>
      <c r="H55" s="400">
        <f>'A.일산테크노밸리(859991)_수정'!$P38*KTDB_TripDistribution_2045!Q$12 * (1 + KTDB_발생량도착량_증가율!$D$7*5) * (1 + KTDB_발생량도착량_증가율!$E$7*5) * (1 + KTDB_발생량도착량_증가율!$F$7*5) * (1 + KTDB_발생량도착량_증가율!$G$7*5)</f>
        <v>311.03548180417181</v>
      </c>
      <c r="J55" s="230">
        <f t="shared" si="6"/>
        <v>311.03548180417175</v>
      </c>
      <c r="K55" s="206"/>
      <c r="L55" s="209" t="s">
        <v>481</v>
      </c>
      <c r="M55" s="213">
        <f>INDEX($A$44:$H$56,MATCH($L55,$B$44:$B$56,0),MATCH($M$43,$A$44:$H$44,0))*고양시_Modal_split!C$3 * 0.01</f>
        <v>9.5447339000038545E-2</v>
      </c>
      <c r="N55" s="207">
        <f>INDEX($A$44:$H$56,MATCH($L55,$B$44:$B$56,0),MATCH($M$43,$A$44:$H$44,0))*고양시_Modal_split!D$3 * 0.01</f>
        <v>16.031744118470762</v>
      </c>
      <c r="O55" s="207">
        <f>INDEX($A$44:$H$56,MATCH($L55,$B$44:$B$56,0),MATCH($M$43,$A$44:$H$44,0))*고양시_Modal_split!E$3 * 0.01</f>
        <v>1.9396262818222119</v>
      </c>
      <c r="P55" s="207">
        <f>INDEX($A$44:$H$56,MATCH($L55,$B$44:$B$56,0),MATCH($M$43,$A$44:$H$44,0))*고양시_Modal_split!F$3 * 0.01</f>
        <v>3.1259003522512625</v>
      </c>
      <c r="Q55" s="207">
        <f>INDEX($A$44:$H$56,MATCH($L55,$B$44:$B$56,0),MATCH($M$43,$A$44:$H$44,0))*고양시_Modal_split!G$3 * 0.01</f>
        <v>0.31361268528584091</v>
      </c>
      <c r="R55" s="207">
        <f>INDEX($A$44:$H$56,MATCH($L55,$B$44:$B$56,0),MATCH($M$43,$A$44:$H$44,0))*고양시_Modal_split!H$3 * 0.01</f>
        <v>3.4088335357156624E-3</v>
      </c>
      <c r="S55" s="207">
        <f>INDEX($A$44:$H$56,MATCH($L55,$B$44:$B$56,0),MATCH($M$43,$A$44:$H$44,0))*고양시_Modal_split!I$3 * 0.01</f>
        <v>0.94765572292895406</v>
      </c>
      <c r="T55" s="207">
        <f>INDEX($A$44:$H$56,MATCH($L55,$B$44:$B$56,0),MATCH($M$43,$A$44:$H$44,0))*고양시_Modal_split!J$3 * 0.01</f>
        <v>10.376489282718476</v>
      </c>
      <c r="U55" s="207">
        <f>INDEX($A$44:$H$56,MATCH($L55,$B$44:$B$56,0),MATCH($M$43,$A$44:$H$44,0))*고양시_Modal_split!K$3 * 0.01</f>
        <v>5.1132503035734932E-2</v>
      </c>
      <c r="V55" s="207">
        <f>INDEX($A$44:$H$56,MATCH($L55,$B$44:$B$56,0),MATCH($M$43,$A$44:$H$44,0))*고양시_Modal_split!L$3 * 0.01</f>
        <v>1.0294677277861302</v>
      </c>
      <c r="W55" s="207">
        <f>INDEX($A$44:$H$56,MATCH($L55,$B$44:$B$56,0),MATCH($M$43,$A$44:$H$44,0))*고양시_Modal_split!M$3 * 0.01</f>
        <v>7.8403171321460227E-2</v>
      </c>
      <c r="X55" s="207">
        <f>INDEX($A$44:$H$56,MATCH($L55,$B$44:$B$56,0),MATCH($M$43,$A$44:$H$44,0))*고양시_Modal_split!N$3 * 0.01</f>
        <v>3.4088335357156628E-2</v>
      </c>
      <c r="Y55" s="207">
        <f>INDEX($A$44:$H$56,MATCH($L55,$B$44:$B$56,0),MATCH($M$43,$A$44:$H$44,0))*고양시_Modal_split!O$3 * 0.01</f>
        <v>6.1359003642881924E-2</v>
      </c>
      <c r="Z55" s="214">
        <f>INDEX($A$44:$H$56,MATCH($L55,$B$44:$B$56,0),MATCH($M$43,$A$44:$H$44,0))*고양시_Modal_split!P$3 * 0.01</f>
        <v>34.088335357156623</v>
      </c>
      <c r="AA55" s="213">
        <f>INDEX($A$44:$H$56,MATCH($L55,$B$44:$B$56,0),MATCH($AA$43,$A$44:$H$44,0))*고양시_Modal_split!C$4 * 0.01</f>
        <v>80.688964409859935</v>
      </c>
      <c r="AB55" s="207">
        <f>INDEX($A$44:$H$56,MATCH($L55,$B$44:$B$56,0),MATCH($AA$43,$A$44:$H$44,0))*고양시_Modal_split!D$4 * 0.01</f>
        <v>85.009694107234168</v>
      </c>
      <c r="AC55" s="207">
        <f>INDEX($A$44:$H$56,MATCH($L55,$B$44:$B$56,0),MATCH($AA$43,$A$44:$H$44,0))*고양시_Modal_split!E$4 * 0.01</f>
        <v>20.596361808955709</v>
      </c>
      <c r="AD55" s="207">
        <f>INDEX($A$44:$H$56,MATCH($L55,$B$44:$B$56,0),MATCH($AA$43,$A$44:$H$44,0))*고양시_Modal_split!F$4 * 0.01</f>
        <v>2.5182166947886642</v>
      </c>
      <c r="AE55" s="207">
        <f>INDEX($A$44:$H$56,MATCH($L55,$B$44:$B$56,0),MATCH($AA$43,$A$44:$H$44,0))*고양시_Modal_split!G$4 * 0.01</f>
        <v>31.040334206289742</v>
      </c>
      <c r="AF55" s="207">
        <f>INDEX($A$44:$H$56,MATCH($L55,$B$44:$B$56,0),MATCH($AA$43,$A$44:$H$44,0))*고양시_Modal_split!H$4 * 0.01</f>
        <v>0</v>
      </c>
      <c r="AG55" s="207">
        <f>INDEX($A$44:$H$56,MATCH($L55,$B$44:$B$56,0),MATCH($AA$43,$A$44:$H$44,0))*고양시_Modal_split!I$4 * 0.01</f>
        <v>9.2246253661732123</v>
      </c>
      <c r="AH55" s="207">
        <f>INDEX($A$44:$H$56,MATCH($L55,$B$44:$B$56,0),MATCH($AA$43,$A$44:$H$44,0))*고양시_Modal_split!J$4 * 0.01</f>
        <v>12.48505329732064</v>
      </c>
      <c r="AI55" s="207">
        <f>INDEX($A$44:$H$56,MATCH($L55,$B$44:$B$56,0),MATCH($AA$43,$A$44:$H$44,0))*고양시_Modal_split!K$4 * 0.01</f>
        <v>0</v>
      </c>
      <c r="AJ55" s="207">
        <f>INDEX($A$44:$H$56,MATCH($L55,$B$44:$B$56,0),MATCH($AA$43,$A$44:$H$44,0))*고양시_Modal_split!L$4 * 0.01</f>
        <v>12.246485399919608</v>
      </c>
      <c r="AK55" s="207">
        <f>INDEX($A$44:$H$56,MATCH($L55,$B$44:$B$56,0),MATCH($AA$43,$A$44:$H$44,0))*고양시_Modal_split!M$4 * 0.01</f>
        <v>1.7760054584299001</v>
      </c>
      <c r="AL55" s="207">
        <f>INDEX($A$44:$H$56,MATCH($L55,$B$44:$B$56,0),MATCH($AA$43,$A$44:$H$44,0))*고양시_Modal_split!N$4 * 0.01</f>
        <v>6.6268860389175375</v>
      </c>
      <c r="AM55" s="207">
        <f>INDEX($A$44:$H$56,MATCH($L55,$B$44:$B$56,0),MATCH($AA$43,$A$44:$H$44,0))*고양시_Modal_split!O$4 * 0.01</f>
        <v>2.8628147688123762</v>
      </c>
      <c r="AN55" s="214">
        <f>INDEX($A$44:$H$56,MATCH($L55,$B$44:$B$56,0),MATCH($AA$43,$A$44:$H$44,0))*고양시_Modal_split!P$4 * 0.01</f>
        <v>265.07544155670149</v>
      </c>
      <c r="AO55" s="213">
        <f>INDEX($A$44:$H$56,MATCH($L55,$B$44:$B$56,0),MATCH($AO$43,$A$44:$H$44,0))*고양시_Modal_split!C$5 * 0.01</f>
        <v>7.0497375271265381E-3</v>
      </c>
      <c r="AP55" s="207">
        <f>INDEX($A$44:$H$56,MATCH($L55,$B$44:$B$56,0),MATCH($AO$43,$A$44:$H$44,0))*고양시_Modal_split!D$5 * 0.01</f>
        <v>8.6100794331305472</v>
      </c>
      <c r="AQ55" s="207">
        <f>INDEX($A$44:$H$56,MATCH($L55,$B$44:$B$56,0),MATCH($AO$43,$A$44:$H$44,0))*고양시_Modal_split!E$5 * 0.01</f>
        <v>1.1573319107032733</v>
      </c>
      <c r="AR55" s="207">
        <f>INDEX($A$44:$H$56,MATCH($L55,$B$44:$B$56,0),MATCH($AO$43,$A$44:$H$44,0))*고양시_Modal_split!F$5 * 0.01</f>
        <v>0.24674081344942889</v>
      </c>
      <c r="AS55" s="207">
        <f>INDEX($A$44:$H$56,MATCH($L55,$B$44:$B$56,0),MATCH($AO$43,$A$44:$H$44,0))*고양시_Modal_split!G$5 * 0.01</f>
        <v>7.6372156543870834E-2</v>
      </c>
      <c r="AT55" s="207">
        <f>INDEX($A$44:$H$56,MATCH($L55,$B$44:$B$56,0),MATCH($AO$43,$A$44:$H$44,0))*고양시_Modal_split!H$5 * 0.01</f>
        <v>8.2246937816476268E-3</v>
      </c>
      <c r="AU55" s="207">
        <f>INDEX($A$44:$H$56,MATCH($L55,$B$44:$B$56,0),MATCH($AO$43,$A$44:$H$44,0))*고양시_Modal_split!I$5 * 0.01</f>
        <v>0.32546288250234184</v>
      </c>
      <c r="AV55" s="207">
        <f>INDEX($A$44:$H$56,MATCH($L55,$B$44:$B$56,0),MATCH($AO$43,$A$44:$H$44,0))*고양시_Modal_split!J$5 * 0.01</f>
        <v>0.73669757158472338</v>
      </c>
      <c r="AW55" s="207">
        <f>INDEX($A$44:$H$56,MATCH($L55,$B$44:$B$56,0),MATCH($AO$43,$A$44:$H$44,0))*고양시_Modal_split!K$5 * 0.01</f>
        <v>2.3499125090421795E-3</v>
      </c>
      <c r="AX55" s="207">
        <f>INDEX($A$44:$H$56,MATCH($L55,$B$44:$B$56,0),MATCH($AO$43,$A$44:$H$44,0))*고양시_Modal_split!L$5 * 0.01</f>
        <v>0.2996138449028779</v>
      </c>
      <c r="AY55" s="207">
        <f>INDEX($A$44:$H$56,MATCH($L55,$B$44:$B$56,0),MATCH($AO$43,$A$44:$H$44,0))*고양시_Modal_split!M$5 * 0.01</f>
        <v>7.8722069052913013E-2</v>
      </c>
      <c r="AZ55" s="207">
        <f>INDEX($A$44:$H$56,MATCH($L55,$B$44:$B$56,0),MATCH($AO$43,$A$44:$H$44,0))*고양시_Modal_split!N$5 * 0.01</f>
        <v>1.9974256326858526E-2</v>
      </c>
      <c r="BA55" s="207">
        <f>INDEX($A$44:$H$56,MATCH($L55,$B$44:$B$56,0),MATCH($AO$43,$A$44:$H$44,0))*고양시_Modal_split!O$5 * 0.01</f>
        <v>0.18094326319624784</v>
      </c>
      <c r="BB55" s="214">
        <f>INDEX($A$44:$H$56,MATCH($L55,$B$44:$B$56,0),MATCH($AO$43,$A$44:$H$44,0))*고양시_Modal_split!P$5 * 0.01</f>
        <v>11.749562545210898</v>
      </c>
      <c r="BC55" s="213">
        <f>INDEX($A$44:$H$56,MATCH($L55,$B$44:$B$56,0),MATCH($BC$43,$A$44:$H$44,0))*고양시_Modal_split!C$6 * 0.01</f>
        <v>0</v>
      </c>
      <c r="BD55" s="207">
        <f>INDEX($A$44:$H$56,MATCH($L55,$B$44:$B$56,0),MATCH($BC$43,$A$44:$H$44,0))*고양시_Modal_split!D$6 * 0.01</f>
        <v>2.6385932864241797E-2</v>
      </c>
      <c r="BE55" s="207">
        <f>INDEX($A$44:$H$56,MATCH($L55,$B$44:$B$56,0),MATCH($BC$43,$A$44:$H$44,0))*고양시_Modal_split!E$6 * 0.01</f>
        <v>1.3701184798483242E-4</v>
      </c>
      <c r="BF55" s="207">
        <f>INDEX($A$44:$H$56,MATCH($L55,$B$44:$B$56,0),MATCH($BC$43,$A$44:$H$44,0))*고양시_Modal_split!F$6 * 0.01</f>
        <v>3.8873128963138508E-4</v>
      </c>
      <c r="BG55" s="207">
        <f>INDEX($A$44:$H$56,MATCH($L55,$B$44:$B$56,0),MATCH($BC$43,$A$44:$H$44,0))*고양시_Modal_split!G$6 * 0.01</f>
        <v>0</v>
      </c>
      <c r="BH55" s="207">
        <f>INDEX($A$44:$H$56,MATCH($L55,$B$44:$B$56,0),MATCH($BC$43,$A$44:$H$44,0))*고양시_Modal_split!H$6 * 0.01</f>
        <v>1.6919370065103729E-3</v>
      </c>
      <c r="BI55" s="207">
        <f>INDEX($A$44:$H$56,MATCH($L55,$B$44:$B$56,0),MATCH($BC$43,$A$44:$H$44,0))*고양시_Modal_split!I$6 * 0.01</f>
        <v>1.1279580043402485E-3</v>
      </c>
      <c r="BJ55" s="207">
        <f>INDEX($A$44:$H$56,MATCH($L55,$B$44:$B$56,0),MATCH($BC$43,$A$44:$H$44,0))*고양시_Modal_split!J$6 * 0.01</f>
        <v>1.5740430908024934E-3</v>
      </c>
      <c r="BK55" s="207">
        <f>INDEX($A$44:$H$56,MATCH($L55,$B$44:$B$56,0),MATCH($BC$43,$A$44:$H$44,0))*고양시_Modal_split!K$6 * 0.01</f>
        <v>0</v>
      </c>
      <c r="BL55" s="207">
        <f>INDEX($A$44:$H$56,MATCH($L55,$B$44:$B$56,0),MATCH($BC$43,$A$44:$H$44,0))*고양시_Modal_split!L$6 * 0.01</f>
        <v>2.4216047550807595E-4</v>
      </c>
      <c r="BM55" s="207">
        <f>INDEX($A$44:$H$56,MATCH($L55,$B$44:$B$56,0),MATCH($BC$43,$A$44:$H$44,0))*고양시_Modal_split!M$6 * 0.01</f>
        <v>2.8995530620045935E-4</v>
      </c>
      <c r="BN55" s="207">
        <f>INDEX($A$44:$H$56,MATCH($L55,$B$44:$B$56,0),MATCH($BC$43,$A$44:$H$44,0))*고양시_Modal_split!N$6 * 0.01</f>
        <v>0</v>
      </c>
      <c r="BO55" s="207">
        <f>INDEX($A$44:$H$56,MATCH($L55,$B$44:$B$56,0),MATCH($BC$43,$A$44:$H$44,0))*고양시_Modal_split!O$6 * 0.01</f>
        <v>2.5490576369271153E-5</v>
      </c>
      <c r="BP55" s="214">
        <f>INDEX($A$44:$H$56,MATCH($L55,$B$44:$B$56,0),MATCH($BC$43,$A$44:$H$44,0))*고양시_Modal_split!P$6 * 0.01</f>
        <v>3.1863220461588938E-2</v>
      </c>
      <c r="BQ55" s="213">
        <f>INDEX($A$44:$H$56,MATCH($L55,$B$44:$B$56,0),MATCH($BQ$43,$A$44:$H$44,0))*고양시_Modal_split!C$7 * 0.01</f>
        <v>0</v>
      </c>
      <c r="BR55" s="207">
        <f>INDEX($A$44:$H$56,MATCH($L55,$B$44:$B$56,0),MATCH($BQ$43,$A$44:$H$44,0))*고양시_Modal_split!D$7 * 0.01</f>
        <v>5.532304758010799E-2</v>
      </c>
      <c r="BS55" s="207">
        <f>INDEX($A$44:$H$56,MATCH($L55,$B$44:$B$56,0),MATCH($BQ$43,$A$44:$H$44,0))*고양시_Modal_split!E$7 * 0.01</f>
        <v>2.6993458267709348E-3</v>
      </c>
      <c r="BT55" s="207">
        <f>INDEX($A$44:$H$56,MATCH($L55,$B$44:$B$56,0),MATCH($BQ$43,$A$44:$H$44,0))*고양시_Modal_split!F$7 * 0.01</f>
        <v>9.0279124641168382E-4</v>
      </c>
      <c r="BU55" s="207">
        <f>INDEX($A$44:$H$56,MATCH($L55,$B$44:$B$56,0),MATCH($BQ$43,$A$44:$H$44,0))*고양시_Modal_split!G$7 * 0.01</f>
        <v>3.7917232349290726E-4</v>
      </c>
      <c r="BV55" s="207">
        <f>INDEX($A$44:$H$56,MATCH($L55,$B$44:$B$56,0),MATCH($BQ$43,$A$44:$H$44,0))*고양시_Modal_split!H$7 * 0.01</f>
        <v>5.0466030674413123E-3</v>
      </c>
      <c r="BW55" s="207">
        <f>INDEX($A$44:$H$56,MATCH($L55,$B$44:$B$56,0),MATCH($BQ$43,$A$44:$H$44,0))*고양시_Modal_split!I$7 * 0.01</f>
        <v>1.6855112570506141E-2</v>
      </c>
      <c r="BX55" s="207">
        <f>INDEX($A$44:$H$56,MATCH($L55,$B$44:$B$56,0),MATCH($BQ$43,$A$44:$H$44,0))*고양시_Modal_split!J$7 * 0.01</f>
        <v>1.8055824928233676E-5</v>
      </c>
      <c r="BY55" s="207">
        <f>INDEX($A$44:$H$56,MATCH($L55,$B$44:$B$56,0),MATCH($BQ$43,$A$44:$H$44,0))*고양시_Modal_split!K$7 * 0.01</f>
        <v>6.9514925973699661E-3</v>
      </c>
      <c r="BZ55" s="207">
        <f>INDEX($A$44:$H$56,MATCH($L55,$B$44:$B$56,0),MATCH($BQ$43,$A$44:$H$44,0))*고양시_Modal_split!L$7 * 0.01</f>
        <v>6.3195387248817859E-5</v>
      </c>
      <c r="CA55" s="207">
        <f>INDEX($A$44:$H$56,MATCH($L55,$B$44:$B$56,0),MATCH($BQ$43,$A$44:$H$44,0))*고양시_Modal_split!M$7 * 0.01</f>
        <v>1.6882196307898489E-3</v>
      </c>
      <c r="CB55" s="207">
        <f>INDEX($A$44:$H$56,MATCH($L55,$B$44:$B$56,0),MATCH($BQ$43,$A$44:$H$44,0))*고양시_Modal_split!N$7 * 0.01</f>
        <v>3.5208858610055667E-4</v>
      </c>
      <c r="CC55" s="207">
        <f>INDEX($A$44:$H$56,MATCH($L55,$B$44:$B$56,0),MATCH($BQ$43,$A$44:$H$44,0))*고양시_Modal_split!O$7 * 0.01</f>
        <v>0</v>
      </c>
      <c r="CD55" s="214">
        <f>INDEX($A$44:$H$56,MATCH($L55,$B$44:$B$56,0),MATCH($BQ$43,$A$44:$H$44,0))*고양시_Modal_split!P$7 * 0.01</f>
        <v>9.0279124641168385E-2</v>
      </c>
      <c r="CE55" s="218">
        <f t="shared" si="24"/>
        <v>80.791461486387092</v>
      </c>
      <c r="CF55" s="208">
        <f t="shared" si="7"/>
        <v>109.73322663927982</v>
      </c>
      <c r="CG55" s="208">
        <f t="shared" si="8"/>
        <v>23.69615635915595</v>
      </c>
      <c r="CH55" s="208">
        <f t="shared" si="9"/>
        <v>5.8921493830253988</v>
      </c>
      <c r="CI55" s="208">
        <f t="shared" si="10"/>
        <v>31.430698220442945</v>
      </c>
      <c r="CJ55" s="208">
        <f t="shared" si="11"/>
        <v>1.8372067391314976E-2</v>
      </c>
      <c r="CK55" s="208">
        <f t="shared" si="12"/>
        <v>10.515727042179353</v>
      </c>
      <c r="CL55" s="208">
        <f t="shared" si="13"/>
        <v>23.599832250539567</v>
      </c>
      <c r="CM55" s="208">
        <f t="shared" si="14"/>
        <v>6.043390814214708E-2</v>
      </c>
      <c r="CN55" s="208">
        <f t="shared" si="15"/>
        <v>13.575872328471373</v>
      </c>
      <c r="CO55" s="208">
        <f t="shared" si="16"/>
        <v>1.9351088737412636</v>
      </c>
      <c r="CP55" s="208">
        <f t="shared" si="17"/>
        <v>6.6813007191876537</v>
      </c>
      <c r="CQ55" s="208">
        <f t="shared" si="18"/>
        <v>3.1051425262278753</v>
      </c>
      <c r="CR55" s="219">
        <f t="shared" si="19"/>
        <v>311.03548180417175</v>
      </c>
      <c r="CS55" s="225">
        <f t="shared" si="25"/>
        <v>0</v>
      </c>
      <c r="CV55" s="265"/>
      <c r="CW55" s="266" t="s">
        <v>481</v>
      </c>
      <c r="CX55" s="267">
        <f>INDEX($M$43:$Z$56,MATCH($CW55,$L$43:$L$56,0),MATCH(CX$44,$M$44:$Z$44,0))/INDEX(고양시_재차인원!$D$4:$H$35,MATCH("고양시",고양시_재차인원!$B$4:$B$35,0),MATCH('A.일산테크노밸리(859991)_수정'!$CX$43,고양시_재차인원!$D$4:$H$4,0))</f>
        <v>14.314057248634608</v>
      </c>
      <c r="CY55" s="267">
        <f>INDEX($M$43:$Z$56,MATCH($CW55,$L$43:$L$56,0),MATCH(CY$44,$M$44:$Z$44,0))/INDEX(고양시_재차인원!$K$4:$O$20,MATCH("경기도",고양시_재차인원!$K$4:$K$20,0),MATCH('A.일산테크노밸리(859991)_수정'!CY$44,고양시_재차인원!$K$4:$O$4,0))</f>
        <v>1.1840338783312478E-4</v>
      </c>
      <c r="CZ55" s="267">
        <f>INDEX($M$43:$Z$56,MATCH($CW55,$L$43:$L$56,0),MATCH(CZ$44,$M$44:$Z$44,0))/INDEX(고양시_재차인원!$K$4:$O$20,MATCH("경기도",고양시_재차인원!$K$4:$K$20,0),MATCH('A.일산테크노밸리(859991)_수정'!CZ$44,고양시_재차인원!$K$4:$O$4,0))</f>
        <v>3.2916141817608685E-2</v>
      </c>
      <c r="DA55" s="267">
        <f>INDEX($M$43:$Z$56,MATCH($CW55,$L$43:$L$56,0),MATCH(DA$44,$M$44:$Z$44,0))/INDEX(고양시_재차인원!$K$4:$O$20,MATCH("경기도",고양시_재차인원!$K$4:$K$20,0),MATCH('A.일산테크노밸리(859991)_수정'!DA$44,고양시_재차인원!$K$4:$O$4,0))</f>
        <v>0.68631181852408674</v>
      </c>
      <c r="DB55" s="268">
        <f>INDEX($AA$43:$AN$56,MATCH($CW55,$L$43:$L$56,0),MATCH(DB$44,$AA$44:$AN$44,0))/INDEX(고양시_재차인원!$D$4:$H$35,MATCH("고양시",고양시_재차인원!$B$4:$B$35,0),MATCH('A.일산테크노밸리(859991)_수정'!$DB$43,고양시_재차인원!$D$4:$H$4,0))</f>
        <v>60.290563196619978</v>
      </c>
      <c r="DC55" s="267">
        <f>INDEX($AA$43:$AN$56,MATCH($CW55,$L$43:$L$56,0),MATCH(DC$44,$AA$44:$AN$44,0))/INDEX(고양시_재차인원!$K$4:$O$20,MATCH("경기도",고양시_재차인원!$K$4:$K$20,0),MATCH('A.일산테크노밸리(859991)_수정'!DC$44,고양시_재차인원!$K$4:$O$4,0))</f>
        <v>0</v>
      </c>
      <c r="DD55" s="267">
        <f>INDEX($AA$43:$AN$56,MATCH($CW55,$L$43:$L$56,0),MATCH(DD$44,$AA$44:$AN$44,0))/INDEX(고양시_재차인원!$K$4:$O$20,MATCH("경기도",고양시_재차인원!$K$4:$K$20,0),MATCH('A.일산테크노밸리(859991)_수정'!DD$44,고양시_재차인원!$K$4:$O$4,0))</f>
        <v>0.32041074561212962</v>
      </c>
      <c r="DE55" s="267">
        <f>INDEX($AA$43:$AN$56,MATCH($CW55,$L$43:$L$56,0),MATCH(DE$44,$AA$44:$AN$44,0))/INDEX(고양시_재차인원!$K$4:$O$20,MATCH("경기도",고양시_재차인원!$K$4:$K$20,0),MATCH('A.일산테크노밸리(859991)_수정'!DE$44,고양시_재차인원!$K$4:$O$4,0))</f>
        <v>8.164323599946405</v>
      </c>
      <c r="DF55" s="268">
        <f>INDEX($AO$43:$BB$56,MATCH($CW55,$L$43:$L$56,0),MATCH(DF$44,$AO$44:$BB$44,0))/INDEX(고양시_재차인원!$D$4:$H$35,MATCH("고양시",고양시_재차인원!$B$4:$B$35,0),MATCH('A.일산테크노밸리(859991)_수정'!$DF$43,고양시_재차인원!$D$4:$H$4,0))</f>
        <v>6.6231380254850363</v>
      </c>
      <c r="DG55" s="267">
        <f>INDEX($AO$43:$BB$56,MATCH($CW55,$L$43:$L$56,0),MATCH(DG$44,$AO$44:$BB$44,0))/INDEX(고양시_재차인원!$K$4:$O$20,MATCH("경기도",고양시_재차인원!$K$4:$K$20,0),MATCH('A.일산테크노밸리(859991)_수정'!DG$44,고양시_재차인원!$K$4:$O$4,0))</f>
        <v>2.8567883923750006E-4</v>
      </c>
      <c r="DH55" s="267">
        <f>INDEX($AO$43:$BB$56,MATCH($CW55,$L$43:$L$56,0),MATCH(DH$44,$AO$44:$BB$44,0))/INDEX(고양시_재차인원!$K$4:$O$20,MATCH("경기도",고양시_재차인원!$K$4:$K$20,0),MATCH('A.일산테크노밸리(859991)_수정'!DH$44,고양시_재차인원!$K$4:$O$4,0))</f>
        <v>1.1304719781255362E-2</v>
      </c>
      <c r="DI55" s="267">
        <f>INDEX($AO$43:$BB$56,MATCH($CW55,$L$43:$L$56,0),MATCH(DI$44,$AO$44:$BB$44,0))/INDEX(고양시_재차인원!$K$4:$O$20,MATCH("경기도",고양시_재차인원!$K$4:$K$20,0),MATCH('A.일산테크노밸리(859991)_수정'!DI$44,고양시_재차인원!$K$4:$O$4,0))</f>
        <v>0.19974256326858528</v>
      </c>
      <c r="DJ55" s="268">
        <f>INDEX($BC$43:$BP$56,MATCH($CW55,$L$43:$L$56,0),MATCH(DJ$44,$BC$44:$BP$44,0))/INDEX(고양시_재차인원!$D$4:$H$35,MATCH("고양시",고양시_재차인원!$B$4:$B$35,0),MATCH('A.일산테크노밸리(859991)_수정'!$DJ$43,고양시_재차인원!$D$4:$H$4,0))</f>
        <v>1.9401421223707201E-2</v>
      </c>
      <c r="DK55" s="267">
        <f>INDEX($BC$43:$BP$56,MATCH($CW55,$L$43:$L$56,0),MATCH(DK$44,$BC$44:$BP$44,0))/INDEX(고양시_재차인원!$K$4:$O$20,MATCH("경기도",고양시_재차인원!$K$4:$K$20,0),MATCH('A.일산테크노밸리(859991)_수정'!DK$44,고양시_재차인원!$K$4:$O$4,0))</f>
        <v>5.876821835742872E-5</v>
      </c>
      <c r="DL55" s="267">
        <f>INDEX($BC$43:$BP$56,MATCH($CW55,$L$43:$L$56,0),MATCH(DL$44,$BC$44:$BP$44,0))/INDEX(고양시_재차인원!$K$4:$O$20,MATCH("경기도",고양시_재차인원!$K$4:$K$20,0),MATCH('A.일산테크노밸리(859991)_수정'!DL$44,고양시_재차인원!$K$4:$O$4,0))</f>
        <v>3.9178812238285816E-5</v>
      </c>
      <c r="DM55" s="267">
        <f>INDEX($BC$43:$BP$56,MATCH($CW55,$L$43:$L$56,0),MATCH(DM$44,$BC$44:$BP$44,0))/INDEX(고양시_재차인원!$K$4:$O$20,MATCH("경기도",고양시_재차인원!$K$4:$K$20,0),MATCH('A.일산테크노밸리(859991)_수정'!DM$44,고양시_재차인원!$K$4:$O$4,0))</f>
        <v>1.6144031700538396E-4</v>
      </c>
      <c r="DN55" s="268">
        <f>INDEX($BQ$43:$CD$56,MATCH($CW55,$L$43:$L$56,0),MATCH(DN$44,$BQ$44:$CD$44,0))/INDEX(고양시_재차인원!$D$4:$H$35,MATCH("고양시",고양시_재차인원!$B$4:$B$35,0),MATCH('A.일산테크노밸리(859991)_수정'!$DN$43,고양시_재차인원!$D$4:$H$4,0))</f>
        <v>4.3907180619133325E-2</v>
      </c>
      <c r="DO55" s="267">
        <f>INDEX($BQ$43:$CD$56,MATCH($CW55,$L$43:$L$56,0),MATCH(DO$44,$BQ$44:$CD$44,0))/INDEX(고양시_재차인원!$K$4:$O$20,MATCH("경기도",고양시_재차인원!$K$4:$K$20,0),MATCH('A.일산테크노밸리(859991)_수정'!DO$44,고양시_재차인원!$K$4:$O$4,0))</f>
        <v>1.752901378062283E-4</v>
      </c>
      <c r="DP55" s="267">
        <f>INDEX($BQ$43:$CD$56,MATCH($CW55,$L$43:$L$56,0),MATCH(DP$44,$BQ$44:$CD$44,0))/INDEX(고양시_재차인원!$K$4:$O$20,MATCH("경기도",고양시_재차인원!$K$4:$K$20,0),MATCH('A.일산테크노밸리(859991)_수정'!DP$44,고양시_재차인원!$K$4:$O$4,0))</f>
        <v>5.8545024558895938E-4</v>
      </c>
      <c r="DQ55" s="267">
        <f>INDEX($BQ$43:$CD$56,MATCH($CW55,$L$43:$L$56,0),MATCH(DQ$44,$BQ$44:$CD$44,0))/INDEX(고양시_재차인원!$K$4:$O$20,MATCH("경기도",고양시_재차인원!$K$4:$K$20,0),MATCH('A.일산테크노밸리(859991)_수정'!DQ$44,고양시_재차인원!$K$4:$O$4,0))</f>
        <v>4.2130258165878572E-5</v>
      </c>
      <c r="DR55" s="269">
        <f t="shared" si="26"/>
        <v>81.29106707258245</v>
      </c>
      <c r="DS55" s="270">
        <f t="shared" si="20"/>
        <v>6.3814058323428187E-4</v>
      </c>
      <c r="DT55" s="270">
        <f t="shared" si="21"/>
        <v>0.36525623626882092</v>
      </c>
      <c r="DU55" s="270">
        <f t="shared" si="22"/>
        <v>9.0505815523142505</v>
      </c>
      <c r="DW55" s="278"/>
      <c r="DX55" s="278"/>
      <c r="DY55" s="281" t="b">
        <f>SUM(DY45:DY53)=DY54</f>
        <v>1</v>
      </c>
      <c r="DZ55" s="281" t="b">
        <f>SUM(DZ45:DZ53)=DZ54</f>
        <v>1</v>
      </c>
      <c r="EC55" s="412" t="s">
        <v>15</v>
      </c>
      <c r="ED55" s="412" t="s">
        <v>84</v>
      </c>
      <c r="EE55" s="412">
        <v>5030.8546999999999</v>
      </c>
      <c r="EF55" s="412">
        <v>2.3365252236241602E-2</v>
      </c>
      <c r="EG55" s="413">
        <v>859011</v>
      </c>
      <c r="EH55" s="414">
        <f t="shared" si="29"/>
        <v>172.92017353794165</v>
      </c>
      <c r="EI55" s="415">
        <f t="shared" si="30"/>
        <v>0.70034718321908118</v>
      </c>
      <c r="EJ55" s="402">
        <v>0</v>
      </c>
      <c r="EM55" s="278" t="s">
        <v>15</v>
      </c>
      <c r="EN55" s="278" t="s">
        <v>84</v>
      </c>
      <c r="EO55" s="278">
        <v>5030.8546999999999</v>
      </c>
      <c r="EP55" s="278">
        <v>2.3365252236241602E-2</v>
      </c>
      <c r="EQ55" s="289">
        <v>859011</v>
      </c>
      <c r="ER55" s="290">
        <f t="shared" si="31"/>
        <v>172.92017353794165</v>
      </c>
      <c r="ES55" s="291">
        <f t="shared" si="23"/>
        <v>0.70034718321908118</v>
      </c>
      <c r="ET55" s="402">
        <v>0</v>
      </c>
      <c r="EV55" s="34"/>
      <c r="EW55" s="34"/>
      <c r="EX55" s="34"/>
      <c r="EY55" s="34"/>
      <c r="EZ55" s="378"/>
      <c r="FA55" s="401"/>
      <c r="FB55" s="402"/>
      <c r="FC55" s="402"/>
    </row>
    <row r="56" spans="1:159" ht="38.25" customHeight="1" thickBot="1">
      <c r="A56" s="205"/>
      <c r="B56" s="205" t="s">
        <v>26</v>
      </c>
      <c r="C56" s="400">
        <f>'A.일산테크노밸리(859991)_수정'!$P39*KTDB_TripDistribution_2045!L$12 * (1 + KTDB_발생량도착량_증가율!$D$7*5) * (1 + KTDB_발생량도착량_증가율!$E$7*5) * (1 + KTDB_발생량도착량_증가율!$F$7*5) * (1 + KTDB_발생량도착량_증가율!$G$7*5)</f>
        <v>4068.0068112848662</v>
      </c>
      <c r="D56" s="400">
        <f>'A.일산테크노밸리(859991)_수정'!$P39*KTDB_TripDistribution_2045!M$12 * (1 + KTDB_발생량도착량_증가율!$D$7*5) * (1 + KTDB_발생량도착량_증가율!$E$7*5) * (1 + KTDB_발생량도착량_증가율!$F$7*5) * (1 + KTDB_발생량도착량_증가율!$G$7*5)</f>
        <v>31633.36344995847</v>
      </c>
      <c r="E56" s="400">
        <f>'A.일산테크노밸리(859991)_수정'!$P39*KTDB_TripDistribution_2045!N$12 * (1 + KTDB_발생량도착량_증가율!$D$7*5) * (1 + KTDB_발생량도착량_증가율!$E$7*5) * (1 + KTDB_발생량도착량_증가율!$F$7*5) * (1 + KTDB_발생량도착량_증가율!$G$7*5)</f>
        <v>1402.160004668598</v>
      </c>
      <c r="F56" s="400">
        <f>'A.일산테크노밸리(859991)_수정'!$P39*KTDB_TripDistribution_2045!O$12 * (1 + KTDB_발생량도착량_증가율!$D$7*5) * (1 + KTDB_발생량도착량_증가율!$E$7*5) * (1 + KTDB_발생량도착량_증가율!$F$7*5) * (1 + KTDB_발생량도착량_증가율!$G$7*5)</f>
        <v>3.8024678092707829</v>
      </c>
      <c r="G56" s="400">
        <f>'A.일산테크노밸리(859991)_수정'!$P39*KTDB_TripDistribution_2045!P$12 * (1 + KTDB_발생량도착량_증가율!$D$7*5) * (1 + KTDB_발생량도착량_증가율!$E$7*5) * (1 + KTDB_발생량도착량_증가율!$F$7*5) * (1 + KTDB_발생량도착량_증가율!$G$7*5)</f>
        <v>10.773658792933849</v>
      </c>
      <c r="H56" s="400">
        <f>'A.일산테크노밸리(859991)_수정'!$P39*KTDB_TripDistribution_2045!Q$12 * (1 + KTDB_발생량도착량_증가율!$D$7*5) * (1 + KTDB_발생량도착량_증가율!$E$7*5) * (1 + KTDB_발생량도착량_증가율!$F$7*5) * (1 + KTDB_발생량도착량_증가율!$G$7*5)</f>
        <v>37118.106392514135</v>
      </c>
      <c r="I56" t="b">
        <f>H56=$P$39</f>
        <v>0</v>
      </c>
      <c r="J56" s="230">
        <f t="shared" si="6"/>
        <v>37118.106392514135</v>
      </c>
      <c r="K56" s="206"/>
      <c r="L56" s="209" t="s">
        <v>26</v>
      </c>
      <c r="M56" s="215">
        <f>INDEX($A$44:$H$56,MATCH($L56,$B$44:$B$56,0),MATCH($M$43,$A$44:$H$44,0))*고양시_Modal_split!C$3 * 0.01</f>
        <v>11.390419071597623</v>
      </c>
      <c r="N56" s="216">
        <f>INDEX($A$44:$H$56,MATCH($L56,$B$44:$B$56,0),MATCH($M$43,$A$44:$H$44,0))*고양시_Modal_split!D$3 * 0.01</f>
        <v>1913.1836033472728</v>
      </c>
      <c r="O56" s="216">
        <f>INDEX($A$44:$H$56,MATCH($L56,$B$44:$B$56,0),MATCH($M$43,$A$44:$H$44,0))*고양시_Modal_split!E$3 * 0.01</f>
        <v>231.46958756210887</v>
      </c>
      <c r="P56" s="216">
        <f>INDEX($A$44:$H$56,MATCH($L56,$B$44:$B$56,0),MATCH($M$43,$A$44:$H$44,0))*고양시_Modal_split!F$3 * 0.01</f>
        <v>373.03622459482222</v>
      </c>
      <c r="Q56" s="216">
        <f>INDEX($A$44:$H$56,MATCH($L56,$B$44:$B$56,0),MATCH($M$43,$A$44:$H$44,0))*고양시_Modal_split!G$3 * 0.01</f>
        <v>37.425662663820766</v>
      </c>
      <c r="R56" s="216">
        <f>INDEX($A$44:$H$56,MATCH($L56,$B$44:$B$56,0),MATCH($M$43,$A$44:$H$44,0))*고양시_Modal_split!H$3 * 0.01</f>
        <v>0.40680068112848666</v>
      </c>
      <c r="S56" s="216">
        <f>INDEX($A$44:$H$56,MATCH($L56,$B$44:$B$56,0),MATCH($M$43,$A$44:$H$44,0))*고양시_Modal_split!I$3 * 0.01</f>
        <v>113.09058935371928</v>
      </c>
      <c r="T56" s="216">
        <f>INDEX($A$44:$H$56,MATCH($L56,$B$44:$B$56,0),MATCH($M$43,$A$44:$H$44,0))*고양시_Modal_split!J$3 * 0.01</f>
        <v>1238.3012733551134</v>
      </c>
      <c r="U56" s="216">
        <f>INDEX($A$44:$H$56,MATCH($L56,$B$44:$B$56,0),MATCH($M$43,$A$44:$H$44,0))*고양시_Modal_split!K$3 * 0.01</f>
        <v>6.1020102169272992</v>
      </c>
      <c r="V56" s="216">
        <f>INDEX($A$44:$H$56,MATCH($L56,$B$44:$B$56,0),MATCH($M$43,$A$44:$H$44,0))*고양시_Modal_split!L$3 * 0.01</f>
        <v>122.85380570080297</v>
      </c>
      <c r="W56" s="216">
        <f>INDEX($A$44:$H$56,MATCH($L56,$B$44:$B$56,0),MATCH($M$43,$A$44:$H$44,0))*고양시_Modal_split!M$3 * 0.01</f>
        <v>9.3564156659551916</v>
      </c>
      <c r="X56" s="216">
        <f>INDEX($A$44:$H$56,MATCH($L56,$B$44:$B$56,0),MATCH($M$43,$A$44:$H$44,0))*고양시_Modal_split!N$3 * 0.01</f>
        <v>4.0680068112848664</v>
      </c>
      <c r="Y56" s="216">
        <f>INDEX($A$44:$H$56,MATCH($L56,$B$44:$B$56,0),MATCH($M$43,$A$44:$H$44,0))*고양시_Modal_split!O$3 * 0.01</f>
        <v>7.3224122603127597</v>
      </c>
      <c r="Z56" s="217">
        <f>INDEX($A$44:$H$56,MATCH($L56,$B$44:$B$56,0),MATCH($M$43,$A$44:$H$44,0))*고양시_Modal_split!P$3 * 0.01</f>
        <v>4068.0068112848667</v>
      </c>
      <c r="AA56" s="215">
        <f>INDEX($A$44:$H$56,MATCH($L56,$B$44:$B$56,0),MATCH($AA$43,$A$44:$H$44,0))*고양시_Modal_split!C$4 * 0.01</f>
        <v>9629.195834167358</v>
      </c>
      <c r="AB56" s="216">
        <f>INDEX($A$44:$H$56,MATCH($L56,$B$44:$B$56,0),MATCH($AA$43,$A$44:$H$44,0))*고양시_Modal_split!D$4 * 0.01</f>
        <v>10144.819658401682</v>
      </c>
      <c r="AC56" s="216">
        <f>INDEX($A$44:$H$56,MATCH($L56,$B$44:$B$56,0),MATCH($AA$43,$A$44:$H$44,0))*고양시_Modal_split!E$4 * 0.01</f>
        <v>2457.9123400617732</v>
      </c>
      <c r="AD56" s="216">
        <f>INDEX($A$44:$H$56,MATCH($L56,$B$44:$B$56,0),MATCH($AA$43,$A$44:$H$44,0))*고양시_Modal_split!F$4 * 0.01</f>
        <v>300.51695277460544</v>
      </c>
      <c r="AE56" s="216">
        <f>INDEX($A$44:$H$56,MATCH($L56,$B$44:$B$56,0),MATCH($AA$43,$A$44:$H$44,0))*고양시_Modal_split!G$4 * 0.01</f>
        <v>3704.2668599901367</v>
      </c>
      <c r="AF56" s="216">
        <f>INDEX($A$44:$H$56,MATCH($L56,$B$44:$B$56,0),MATCH($AA$43,$A$44:$H$44,0))*고양시_Modal_split!H$4 * 0.01</f>
        <v>0</v>
      </c>
      <c r="AG56" s="216">
        <f>INDEX($A$44:$H$56,MATCH($L56,$B$44:$B$56,0),MATCH($AA$43,$A$44:$H$44,0))*고양시_Modal_split!I$4 * 0.01</f>
        <v>1100.8410480585546</v>
      </c>
      <c r="AH56" s="216">
        <f>INDEX($A$44:$H$56,MATCH($L56,$B$44:$B$56,0),MATCH($AA$43,$A$44:$H$44,0))*고양시_Modal_split!J$4 * 0.01</f>
        <v>1489.931418493044</v>
      </c>
      <c r="AI56" s="216">
        <f>INDEX($A$44:$H$56,MATCH($L56,$B$44:$B$56,0),MATCH($AA$43,$A$44:$H$44,0))*고양시_Modal_split!K$4 * 0.01</f>
        <v>0</v>
      </c>
      <c r="AJ56" s="216">
        <f>INDEX($A$44:$H$56,MATCH($L56,$B$44:$B$56,0),MATCH($AA$43,$A$44:$H$44,0))*고양시_Modal_split!L$4 * 0.01</f>
        <v>1461.4613913880812</v>
      </c>
      <c r="AK56" s="216">
        <f>INDEX($A$44:$H$56,MATCH($L56,$B$44:$B$56,0),MATCH($AA$43,$A$44:$H$44,0))*고양시_Modal_split!M$4 * 0.01</f>
        <v>211.94353511472175</v>
      </c>
      <c r="AL56" s="216">
        <f>INDEX($A$44:$H$56,MATCH($L56,$B$44:$B$56,0),MATCH($AA$43,$A$44:$H$44,0))*고양시_Modal_split!N$4 * 0.01</f>
        <v>790.83408624896174</v>
      </c>
      <c r="AM56" s="216">
        <f>INDEX($A$44:$H$56,MATCH($L56,$B$44:$B$56,0),MATCH($AA$43,$A$44:$H$44,0))*고양시_Modal_split!O$4 * 0.01</f>
        <v>341.64032525955145</v>
      </c>
      <c r="AN56" s="217">
        <f>INDEX($A$44:$H$56,MATCH($L56,$B$44:$B$56,0),MATCH($AA$43,$A$44:$H$44,0))*고양시_Modal_split!P$4 * 0.01</f>
        <v>31633.36344995847</v>
      </c>
      <c r="AO56" s="215">
        <f>INDEX($A$44:$H$56,MATCH($L56,$B$44:$B$56,0),MATCH($AO$43,$A$44:$H$44,0))*고양시_Modal_split!C$5 * 0.01</f>
        <v>0.84129600280115879</v>
      </c>
      <c r="AP56" s="216">
        <f>INDEX($A$44:$H$56,MATCH($L56,$B$44:$B$56,0),MATCH($AO$43,$A$44:$H$44,0))*고양시_Modal_split!D$5 * 0.01</f>
        <v>1027.5028514211488</v>
      </c>
      <c r="AQ56" s="216">
        <f>INDEX($A$44:$H$56,MATCH($L56,$B$44:$B$56,0),MATCH($AO$43,$A$44:$H$44,0))*고양시_Modal_split!E$5 * 0.01</f>
        <v>138.1127604598569</v>
      </c>
      <c r="AR56" s="216">
        <f>INDEX($A$44:$H$56,MATCH($L56,$B$44:$B$56,0),MATCH($AO$43,$A$44:$H$44,0))*고양시_Modal_split!F$5 * 0.01</f>
        <v>29.44536009804056</v>
      </c>
      <c r="AS56" s="216">
        <f>INDEX($A$44:$H$56,MATCH($L56,$B$44:$B$56,0),MATCH($AO$43,$A$44:$H$44,0))*고양시_Modal_split!G$5 * 0.01</f>
        <v>9.1140400303458886</v>
      </c>
      <c r="AT56" s="216">
        <f>INDEX($A$44:$H$56,MATCH($L56,$B$44:$B$56,0),MATCH($AO$43,$A$44:$H$44,0))*고양시_Modal_split!H$5 * 0.01</f>
        <v>0.98151200326801857</v>
      </c>
      <c r="AU56" s="216">
        <f>INDEX($A$44:$H$56,MATCH($L56,$B$44:$B$56,0),MATCH($AO$43,$A$44:$H$44,0))*고양시_Modal_split!I$5 * 0.01</f>
        <v>38.839832129320165</v>
      </c>
      <c r="AV56" s="216">
        <f>INDEX($A$44:$H$56,MATCH($L56,$B$44:$B$56,0),MATCH($AO$43,$A$44:$H$44,0))*고양시_Modal_split!J$5 * 0.01</f>
        <v>87.915432292721107</v>
      </c>
      <c r="AW56" s="216">
        <f>INDEX($A$44:$H$56,MATCH($L56,$B$44:$B$56,0),MATCH($AO$43,$A$44:$H$44,0))*고양시_Modal_split!K$5 * 0.01</f>
        <v>0.28043200093371962</v>
      </c>
      <c r="AX56" s="216">
        <f>INDEX($A$44:$H$56,MATCH($L56,$B$44:$B$56,0),MATCH($AO$43,$A$44:$H$44,0))*고양시_Modal_split!L$5 * 0.01</f>
        <v>35.755080119049246</v>
      </c>
      <c r="AY56" s="216">
        <f>INDEX($A$44:$H$56,MATCH($L56,$B$44:$B$56,0),MATCH($AO$43,$A$44:$H$44,0))*고양시_Modal_split!M$5 * 0.01</f>
        <v>9.3944720312796068</v>
      </c>
      <c r="AZ56" s="216">
        <f>INDEX($A$44:$H$56,MATCH($L56,$B$44:$B$56,0),MATCH($AO$43,$A$44:$H$44,0))*고양시_Modal_split!N$5 * 0.01</f>
        <v>2.3836720079366165</v>
      </c>
      <c r="BA56" s="216">
        <f>INDEX($A$44:$H$56,MATCH($L56,$B$44:$B$56,0),MATCH($AO$43,$A$44:$H$44,0))*고양시_Modal_split!O$5 * 0.01</f>
        <v>21.59326407189641</v>
      </c>
      <c r="BB56" s="217">
        <f>INDEX($A$44:$H$56,MATCH($L56,$B$44:$B$56,0),MATCH($AO$43,$A$44:$H$44,0))*고양시_Modal_split!P$5 * 0.01</f>
        <v>1402.1600046685978</v>
      </c>
      <c r="BC56" s="215">
        <f>INDEX($A$44:$H$56,MATCH($L56,$B$44:$B$56,0),MATCH($BC$43,$A$44:$H$44,0))*고양시_Modal_split!C$6 * 0.01</f>
        <v>0</v>
      </c>
      <c r="BD56" s="216">
        <f>INDEX($A$44:$H$56,MATCH($L56,$B$44:$B$56,0),MATCH($BC$43,$A$44:$H$44,0))*고양시_Modal_split!D$6 * 0.01</f>
        <v>3.1488235928571351</v>
      </c>
      <c r="BE56" s="216">
        <f>INDEX($A$44:$H$56,MATCH($L56,$B$44:$B$56,0),MATCH($BC$43,$A$44:$H$44,0))*고양시_Modal_split!E$6 * 0.01</f>
        <v>1.6350611579864366E-2</v>
      </c>
      <c r="BF56" s="216">
        <f>INDEX($A$44:$H$56,MATCH($L56,$B$44:$B$56,0),MATCH($BC$43,$A$44:$H$44,0))*고양시_Modal_split!F$6 * 0.01</f>
        <v>4.6390107273103547E-2</v>
      </c>
      <c r="BG56" s="216">
        <f>INDEX($A$44:$H$56,MATCH($L56,$B$44:$B$56,0),MATCH($BC$43,$A$44:$H$44,0))*고양시_Modal_split!G$6 * 0.01</f>
        <v>0</v>
      </c>
      <c r="BH56" s="216">
        <f>INDEX($A$44:$H$56,MATCH($L56,$B$44:$B$56,0),MATCH($BC$43,$A$44:$H$44,0))*고양시_Modal_split!H$6 * 0.01</f>
        <v>0.20191104067227858</v>
      </c>
      <c r="BI56" s="216">
        <f>INDEX($A$44:$H$56,MATCH($L56,$B$44:$B$56,0),MATCH($BC$43,$A$44:$H$44,0))*고양시_Modal_split!I$6 * 0.01</f>
        <v>0.13460736044818572</v>
      </c>
      <c r="BJ56" s="216">
        <f>INDEX($A$44:$H$56,MATCH($L56,$B$44:$B$56,0),MATCH($BC$43,$A$44:$H$44,0))*고양시_Modal_split!J$6 * 0.01</f>
        <v>0.18784190977797666</v>
      </c>
      <c r="BK56" s="216">
        <f>INDEX($A$44:$H$56,MATCH($L56,$B$44:$B$56,0),MATCH($BC$43,$A$44:$H$44,0))*고양시_Modal_split!K$6 * 0.01</f>
        <v>0</v>
      </c>
      <c r="BL56" s="216">
        <f>INDEX($A$44:$H$56,MATCH($L56,$B$44:$B$56,0),MATCH($BC$43,$A$44:$H$44,0))*고양시_Modal_split!L$6 * 0.01</f>
        <v>2.8898755350457953E-2</v>
      </c>
      <c r="BM56" s="216">
        <f>INDEX($A$44:$H$56,MATCH($L56,$B$44:$B$56,0),MATCH($BC$43,$A$44:$H$44,0))*고양시_Modal_split!M$6 * 0.01</f>
        <v>3.4602457064364128E-2</v>
      </c>
      <c r="BN56" s="216">
        <f>INDEX($A$44:$H$56,MATCH($L56,$B$44:$B$56,0),MATCH($BC$43,$A$44:$H$44,0))*고양시_Modal_split!N$6 * 0.01</f>
        <v>0</v>
      </c>
      <c r="BO56" s="216">
        <f>INDEX($A$44:$H$56,MATCH($L56,$B$44:$B$56,0),MATCH($BC$43,$A$44:$H$44,0))*고양시_Modal_split!O$6 * 0.01</f>
        <v>3.0419742474166261E-3</v>
      </c>
      <c r="BP56" s="217">
        <f>INDEX($A$44:$H$56,MATCH($L56,$B$44:$B$56,0),MATCH($BC$43,$A$44:$H$44,0))*고양시_Modal_split!P$6 * 0.01</f>
        <v>3.8024678092707833</v>
      </c>
      <c r="BQ56" s="215">
        <f>INDEX($A$44:$H$56,MATCH($L56,$B$44:$B$56,0),MATCH($BQ$43,$A$44:$H$44,0))*고양시_Modal_split!C$7 * 0.01</f>
        <v>0</v>
      </c>
      <c r="BR56" s="216">
        <f>INDEX($A$44:$H$56,MATCH($L56,$B$44:$B$56,0),MATCH($BQ$43,$A$44:$H$44,0))*고양시_Modal_split!D$7 * 0.01</f>
        <v>6.6020981083098631</v>
      </c>
      <c r="BS56" s="216">
        <f>INDEX($A$44:$H$56,MATCH($L56,$B$44:$B$56,0),MATCH($BQ$43,$A$44:$H$44,0))*고양시_Modal_split!E$7 * 0.01</f>
        <v>0.32213239790872211</v>
      </c>
      <c r="BT56" s="216">
        <f>INDEX($A$44:$H$56,MATCH($L56,$B$44:$B$56,0),MATCH($BQ$43,$A$44:$H$44,0))*고양시_Modal_split!F$7 * 0.01</f>
        <v>0.10773658792933849</v>
      </c>
      <c r="BU56" s="216">
        <f>INDEX($A$44:$H$56,MATCH($L56,$B$44:$B$56,0),MATCH($BQ$43,$A$44:$H$44,0))*고양시_Modal_split!G$7 * 0.01</f>
        <v>4.5249366930322166E-2</v>
      </c>
      <c r="BV56" s="216">
        <f>INDEX($A$44:$H$56,MATCH($L56,$B$44:$B$56,0),MATCH($BQ$43,$A$44:$H$44,0))*고양시_Modal_split!H$7 * 0.01</f>
        <v>0.60224752652500213</v>
      </c>
      <c r="BW56" s="216">
        <f>INDEX($A$44:$H$56,MATCH($L56,$B$44:$B$56,0),MATCH($BQ$43,$A$44:$H$44,0))*고양시_Modal_split!I$7 * 0.01</f>
        <v>2.0114420966407498</v>
      </c>
      <c r="BX56" s="216">
        <f>INDEX($A$44:$H$56,MATCH($L56,$B$44:$B$56,0),MATCH($BQ$43,$A$44:$H$44,0))*고양시_Modal_split!J$7 * 0.01</f>
        <v>2.1547317585867698E-3</v>
      </c>
      <c r="BY56" s="216">
        <f>INDEX($A$44:$H$56,MATCH($L56,$B$44:$B$56,0),MATCH($BQ$43,$A$44:$H$44,0))*고양시_Modal_split!K$7 * 0.01</f>
        <v>0.82957172705590643</v>
      </c>
      <c r="BZ56" s="216">
        <f>INDEX($A$44:$H$56,MATCH($L56,$B$44:$B$56,0),MATCH($BQ$43,$A$44:$H$44,0))*고양시_Modal_split!L$7 * 0.01</f>
        <v>7.5415611550536943E-3</v>
      </c>
      <c r="CA56" s="216">
        <f>INDEX($A$44:$H$56,MATCH($L56,$B$44:$B$56,0),MATCH($BQ$43,$A$44:$H$44,0))*고양시_Modal_split!M$7 * 0.01</f>
        <v>0.201467419427863</v>
      </c>
      <c r="CB56" s="216">
        <f>INDEX($A$44:$H$56,MATCH($L56,$B$44:$B$56,0),MATCH($BQ$43,$A$44:$H$44,0))*고양시_Modal_split!N$7 * 0.01</f>
        <v>4.2017269292442004E-2</v>
      </c>
      <c r="CC56" s="216">
        <f>INDEX($A$44:$H$56,MATCH($L56,$B$44:$B$56,0),MATCH($BQ$43,$A$44:$H$44,0))*고양시_Modal_split!O$7 * 0.01</f>
        <v>0</v>
      </c>
      <c r="CD56" s="217">
        <f>INDEX($A$44:$H$56,MATCH($L56,$B$44:$B$56,0),MATCH($BQ$43,$A$44:$H$44,0))*고양시_Modal_split!P$7 * 0.01</f>
        <v>10.773658792933849</v>
      </c>
      <c r="CE56" s="220">
        <f t="shared" si="24"/>
        <v>9641.4275492417582</v>
      </c>
      <c r="CF56" s="221">
        <f t="shared" si="7"/>
        <v>13095.257034871271</v>
      </c>
      <c r="CG56" s="221">
        <f t="shared" si="8"/>
        <v>2827.8331710932275</v>
      </c>
      <c r="CH56" s="221">
        <f t="shared" si="9"/>
        <v>703.15266416267059</v>
      </c>
      <c r="CI56" s="221">
        <f t="shared" si="10"/>
        <v>3750.8518120512335</v>
      </c>
      <c r="CJ56" s="221">
        <f t="shared" si="11"/>
        <v>2.1924712515937861</v>
      </c>
      <c r="CK56" s="221">
        <f t="shared" si="12"/>
        <v>1254.9175189986831</v>
      </c>
      <c r="CL56" s="221">
        <f t="shared" si="13"/>
        <v>2816.3381207824154</v>
      </c>
      <c r="CM56" s="221">
        <f t="shared" si="14"/>
        <v>7.2120139449169258</v>
      </c>
      <c r="CN56" s="221">
        <f t="shared" si="15"/>
        <v>1620.1067175244389</v>
      </c>
      <c r="CO56" s="221">
        <f t="shared" si="16"/>
        <v>230.93049268844877</v>
      </c>
      <c r="CP56" s="221">
        <f t="shared" si="17"/>
        <v>797.32778233747558</v>
      </c>
      <c r="CQ56" s="221">
        <f t="shared" si="18"/>
        <v>370.55904356600803</v>
      </c>
      <c r="CR56" s="222">
        <f t="shared" si="19"/>
        <v>37118.106392514135</v>
      </c>
      <c r="CS56" s="225">
        <f t="shared" si="25"/>
        <v>0</v>
      </c>
      <c r="CV56" s="265"/>
      <c r="CW56" s="266" t="s">
        <v>26</v>
      </c>
      <c r="CX56" s="267">
        <f>INDEX($M$43:$Z$56,MATCH($CW56,$L$43:$L$56,0),MATCH(CX$44,$M$44:$Z$44,0))/INDEX(고양시_재차인원!$D$4:$H$35,MATCH("고양시",고양시_재차인원!$B$4:$B$35,0),MATCH('A.일산테크노밸리(859991)_수정'!$CX$43,고양시_재차인원!$D$4:$H$4,0))</f>
        <v>1708.1996458457791</v>
      </c>
      <c r="CY56" s="267">
        <f>INDEX($M$43:$Z$56,MATCH($CW56,$L$43:$L$56,0),MATCH(CY$44,$M$44:$Z$44,0))/INDEX(고양시_재차인원!$K$4:$O$20,MATCH("경기도",고양시_재차인원!$K$4:$K$20,0),MATCH('A.일산테크노밸리(859991)_수정'!CY$44,고양시_재차인원!$K$4:$O$4,0))</f>
        <v>1.4129929875946046E-2</v>
      </c>
      <c r="CZ56" s="267">
        <f>INDEX($M$43:$Z$56,MATCH($CW56,$L$43:$L$56,0),MATCH(CZ$44,$M$44:$Z$44,0))/INDEX(고양시_재차인원!$K$4:$O$20,MATCH("경기도",고양시_재차인원!$K$4:$K$20,0),MATCH('A.일산테크노밸리(859991)_수정'!CZ$44,고양시_재차인원!$K$4:$O$4,0))</f>
        <v>3.9281205055130006</v>
      </c>
      <c r="DA56" s="267">
        <f>INDEX($M$43:$Z$56,MATCH($CW56,$L$43:$L$56,0),MATCH(DA$44,$M$44:$Z$44,0))/INDEX(고양시_재차인원!$K$4:$O$20,MATCH("경기도",고양시_재차인원!$K$4:$K$20,0),MATCH('A.일산테크노밸리(859991)_수정'!DA$44,고양시_재차인원!$K$4:$O$4,0))</f>
        <v>81.902537133868648</v>
      </c>
      <c r="DB56" s="272">
        <f>INDEX($AA$43:$AN$56,MATCH($CW56,$L$43:$L$56,0),MATCH(DB$44,$AA$44:$AN$44,0))/INDEX(고양시_재차인원!$D$4:$H$35,MATCH("고양시",고양시_재차인원!$B$4:$B$35,0),MATCH('A.일산테크노밸리(859991)_수정'!$DB$43,고양시_재차인원!$D$4:$H$4,0))</f>
        <v>7194.9075591501296</v>
      </c>
      <c r="DC56" s="273">
        <f>INDEX($AA$43:$AN$56,MATCH($CW56,$L$43:$L$56,0),MATCH(DC$44,$AA$44:$AN$44,0))/INDEX(고양시_재차인원!$K$4:$O$20,MATCH("경기도",고양시_재차인원!$K$4:$K$20,0),MATCH('A.일산테크노밸리(859991)_수정'!DC$44,고양시_재차인원!$K$4:$O$4,0))</f>
        <v>0</v>
      </c>
      <c r="DD56" s="273">
        <f>INDEX($AA$43:$AN$56,MATCH($CW56,$L$43:$L$56,0),MATCH(DD$44,$AA$44:$AN$44,0))/INDEX(고양시_재차인원!$K$4:$O$20,MATCH("경기도",고양시_재차인원!$K$4:$K$20,0),MATCH('A.일산테크노밸리(859991)_수정'!DD$44,고양시_재차인원!$K$4:$O$4,0))</f>
        <v>38.236924211828921</v>
      </c>
      <c r="DE56" s="273">
        <f>INDEX($AA$43:$AN$56,MATCH($CW56,$L$43:$L$56,0),MATCH(DE$44,$AA$44:$AN$44,0))/INDEX(고양시_재차인원!$K$4:$O$20,MATCH("경기도",고양시_재차인원!$K$4:$K$20,0),MATCH('A.일산테크노밸리(859991)_수정'!DE$44,고양시_재차인원!$K$4:$O$4,0))</f>
        <v>974.30759425872077</v>
      </c>
      <c r="DF56" s="272">
        <f>INDEX($AO$43:$BB$56,MATCH($CW56,$L$43:$L$56,0),MATCH(DF$44,$AO$44:$BB$44,0))/INDEX(고양시_재차인원!$D$4:$H$35,MATCH("고양시",고양시_재차인원!$B$4:$B$35,0),MATCH('A.일산테크노밸리(859991)_수정'!$DF$43,고양시_재차인원!$D$4:$H$4,0))</f>
        <v>790.38680878549906</v>
      </c>
      <c r="DG56" s="273">
        <f>INDEX($AO$43:$BB$56,MATCH($CW56,$L$43:$L$56,0),MATCH(DG$44,$AO$44:$BB$44,0))/INDEX(고양시_재차인원!$K$4:$O$20,MATCH("경기도",고양시_재차인원!$K$4:$K$20,0),MATCH('A.일산테크노밸리(859991)_수정'!DG$44,고양시_재차인원!$K$4:$O$4,0))</f>
        <v>3.409211543133097E-2</v>
      </c>
      <c r="DH56" s="273">
        <f>INDEX($AO$43:$BB$56,MATCH($CW56,$L$43:$L$56,0),MATCH(DH$44,$AO$44:$BB$44,0))/INDEX(고양시_재차인원!$K$4:$O$20,MATCH("경기도",고양시_재차인원!$K$4:$K$20,0),MATCH('A.일산테크노밸리(859991)_수정'!DH$44,고양시_재차인원!$K$4:$O$4,0))</f>
        <v>1.3490737106398112</v>
      </c>
      <c r="DI56" s="273">
        <f>INDEX($AO$43:$BB$56,MATCH($CW56,$L$43:$L$56,0),MATCH(DI$44,$AO$44:$BB$44,0))/INDEX(고양시_재차인원!$K$4:$O$20,MATCH("경기도",고양시_재차인원!$K$4:$K$20,0),MATCH('A.일산테크노밸리(859991)_수정'!DI$44,고양시_재차인원!$K$4:$O$4,0))</f>
        <v>23.836720079366163</v>
      </c>
      <c r="DJ56" s="272">
        <f>INDEX($BC$43:$BP$56,MATCH($CW56,$L$43:$L$56,0),MATCH(DJ$44,$BC$44:$BP$44,0))/INDEX(고양시_재차인원!$D$4:$H$35,MATCH("고양시",고양시_재차인원!$B$4:$B$35,0),MATCH('A.일산테크노밸리(859991)_수정'!$DJ$43,고양시_재차인원!$D$4:$H$4,0))</f>
        <v>2.3153114653361286</v>
      </c>
      <c r="DK56" s="273">
        <f>INDEX($BC$43:$BP$56,MATCH($CW56,$L$43:$L$56,0),MATCH(DK$44,$BC$44:$BP$44,0))/INDEX(고양시_재차인원!$K$4:$O$20,MATCH("경기도",고양시_재차인원!$K$4:$K$20,0),MATCH('A.일산테크노밸리(859991)_수정'!DK$44,고양시_재차인원!$K$4:$O$4,0))</f>
        <v>7.0132351744452443E-3</v>
      </c>
      <c r="DL56" s="273">
        <f>INDEX($BC$43:$BP$56,MATCH($CW56,$L$43:$L$56,0),MATCH(DL$44,$BC$44:$BP$44,0))/INDEX(고양시_재차인원!$K$4:$O$20,MATCH("경기도",고양시_재차인원!$K$4:$K$20,0),MATCH('A.일산테크노밸리(859991)_수정'!DL$44,고양시_재차인원!$K$4:$O$4,0))</f>
        <v>4.6754901162968298E-3</v>
      </c>
      <c r="DM56" s="273">
        <f>INDEX($BC$43:$BP$56,MATCH($CW56,$L$43:$L$56,0),MATCH(DM$44,$BC$44:$BP$44,0))/INDEX(고양시_재차인원!$K$4:$O$20,MATCH("경기도",고양시_재차인원!$K$4:$K$20,0),MATCH('A.일산테크노밸리(859991)_수정'!DM$44,고양시_재차인원!$K$4:$O$4,0))</f>
        <v>1.9265836900305301E-2</v>
      </c>
      <c r="DN56" s="272">
        <f>INDEX($BQ$43:$CD$56,MATCH($CW56,$L$43:$L$56,0),MATCH(DN$44,$BQ$44:$CD$44,0))/INDEX(고양시_재차인원!$D$4:$H$35,MATCH("고양시",고양시_재차인원!$B$4:$B$35,0),MATCH('A.일산테크노밸리(859991)_수정'!$DN$43,고양시_재차인원!$D$4:$H$4,0))</f>
        <v>5.2397604034205258</v>
      </c>
      <c r="DO56" s="273">
        <f>INDEX($BQ$43:$CD$56,MATCH($CW56,$L$43:$L$56,0),MATCH(DO$44,$BQ$44:$CD$44,0))/INDEX(고양시_재차인원!$K$4:$O$20,MATCH("경기도",고양시_재차인원!$K$4:$K$20,0),MATCH('A.일산테크노밸리(859991)_수정'!DO$44,고양시_재차인원!$K$4:$O$4,0))</f>
        <v>2.0918635864015357E-2</v>
      </c>
      <c r="DP56" s="273">
        <f>INDEX($BQ$43:$CD$56,MATCH($CW56,$L$43:$L$56,0),MATCH(DP$44,$BQ$44:$CD$44,0))/INDEX(고양시_재차인원!$K$4:$O$20,MATCH("경기도",고양시_재차인원!$K$4:$K$20,0),MATCH('A.일산테크노밸리(859991)_수정'!DP$44,고양시_재차인원!$K$4:$O$4,0))</f>
        <v>6.9865998493947548E-2</v>
      </c>
      <c r="DQ56" s="273">
        <f>INDEX($BQ$43:$CD$56,MATCH($CW56,$L$43:$L$56,0),MATCH(DQ$44,$BQ$44:$CD$44,0))/INDEX(고양시_재차인원!$K$4:$O$20,MATCH("경기도",고양시_재차인원!$K$4:$K$20,0),MATCH('A.일산테크노밸리(859991)_수정'!DQ$44,고양시_재차인원!$K$4:$O$4,0))</f>
        <v>5.0277074367024626E-3</v>
      </c>
      <c r="DR56" s="274">
        <f t="shared" si="26"/>
        <v>9701.0490856501656</v>
      </c>
      <c r="DS56" s="275">
        <f t="shared" si="20"/>
        <v>7.6153916345737621E-2</v>
      </c>
      <c r="DT56" s="275">
        <f t="shared" si="21"/>
        <v>43.588659916591979</v>
      </c>
      <c r="DU56" s="275">
        <f t="shared" si="22"/>
        <v>1080.0711450162926</v>
      </c>
      <c r="EC56" s="412" t="s">
        <v>15</v>
      </c>
      <c r="ED56" s="412" t="s">
        <v>89</v>
      </c>
      <c r="EE56" s="412">
        <v>6744.6391999999996</v>
      </c>
      <c r="EF56" s="412">
        <v>3.132473616271262E-2</v>
      </c>
      <c r="EG56" s="413">
        <v>859012</v>
      </c>
      <c r="EH56" s="414">
        <f t="shared" si="29"/>
        <v>231.82625030192258</v>
      </c>
      <c r="EI56" s="415">
        <f t="shared" si="30"/>
        <v>0.93892377085527778</v>
      </c>
      <c r="EJ56" s="402">
        <v>0</v>
      </c>
      <c r="EM56" s="278" t="s">
        <v>15</v>
      </c>
      <c r="EN56" s="278" t="s">
        <v>89</v>
      </c>
      <c r="EO56" s="278">
        <v>6744.6391999999996</v>
      </c>
      <c r="EP56" s="278">
        <v>3.132473616271262E-2</v>
      </c>
      <c r="EQ56" s="289">
        <v>859012</v>
      </c>
      <c r="ER56" s="290">
        <f t="shared" si="31"/>
        <v>231.82625030192258</v>
      </c>
      <c r="ES56" s="291">
        <f t="shared" si="23"/>
        <v>0.93892377085527778</v>
      </c>
      <c r="ET56" s="402">
        <v>0</v>
      </c>
      <c r="EV56" s="34"/>
      <c r="EW56" s="34"/>
      <c r="EX56" s="34"/>
      <c r="EY56" s="34"/>
      <c r="EZ56" s="378"/>
      <c r="FA56" s="401"/>
      <c r="FB56" s="402"/>
      <c r="FC56" s="402"/>
    </row>
    <row r="57" spans="1:159" ht="17" customHeight="1">
      <c r="D57">
        <f>D56/H56</f>
        <v>0.85223537848197417</v>
      </c>
      <c r="E57">
        <f>E56/H56</f>
        <v>3.7775634075756119E-2</v>
      </c>
      <c r="R57">
        <f>R56/Z56</f>
        <v>1E-4</v>
      </c>
      <c r="S57">
        <f>S56/Z56</f>
        <v>2.7799999999999998E-2</v>
      </c>
      <c r="EC57" s="412" t="s">
        <v>15</v>
      </c>
      <c r="ED57" s="412" t="s">
        <v>90</v>
      </c>
      <c r="EE57" s="412">
        <v>9730.2787000000008</v>
      </c>
      <c r="EF57" s="412">
        <v>4.519121097940456E-2</v>
      </c>
      <c r="EG57" s="413">
        <v>859013</v>
      </c>
      <c r="EH57" s="414">
        <f t="shared" si="29"/>
        <v>334.44843504952291</v>
      </c>
      <c r="EI57" s="415">
        <f t="shared" si="30"/>
        <v>1.3545557734914553</v>
      </c>
      <c r="EJ57" s="402">
        <v>0</v>
      </c>
      <c r="EM57" s="278" t="s">
        <v>15</v>
      </c>
      <c r="EN57" s="278" t="s">
        <v>90</v>
      </c>
      <c r="EO57" s="278">
        <v>9730.2787000000008</v>
      </c>
      <c r="EP57" s="278">
        <v>4.519121097940456E-2</v>
      </c>
      <c r="EQ57" s="289">
        <v>859013</v>
      </c>
      <c r="ER57" s="290">
        <f t="shared" si="31"/>
        <v>334.44843504952291</v>
      </c>
      <c r="ES57" s="291">
        <f t="shared" si="23"/>
        <v>1.3545557734914553</v>
      </c>
      <c r="ET57" s="402">
        <v>0</v>
      </c>
      <c r="EV57" s="34"/>
      <c r="EW57" s="34"/>
      <c r="EX57" s="34"/>
      <c r="EY57" s="34"/>
      <c r="EZ57" s="378"/>
      <c r="FA57" s="401"/>
      <c r="FB57" s="402"/>
      <c r="FC57" s="402"/>
    </row>
    <row r="58" spans="1:159" ht="17" customHeight="1">
      <c r="EC58" s="412" t="s">
        <v>15</v>
      </c>
      <c r="ED58" s="412" t="s">
        <v>91</v>
      </c>
      <c r="EE58" s="412">
        <v>11598.4503</v>
      </c>
      <c r="EF58" s="412">
        <v>5.386772883919945E-2</v>
      </c>
      <c r="EG58" s="413">
        <v>859014</v>
      </c>
      <c r="EH58" s="414">
        <f t="shared" si="29"/>
        <v>398.66109403779666</v>
      </c>
      <c r="EI58" s="415">
        <f t="shared" si="30"/>
        <v>1.614624647639199</v>
      </c>
      <c r="EJ58" s="402">
        <v>0</v>
      </c>
      <c r="EM58" s="278" t="s">
        <v>15</v>
      </c>
      <c r="EN58" s="278" t="s">
        <v>91</v>
      </c>
      <c r="EO58" s="278">
        <v>11598.4503</v>
      </c>
      <c r="EP58" s="278">
        <v>5.386772883919945E-2</v>
      </c>
      <c r="EQ58" s="289">
        <v>859014</v>
      </c>
      <c r="ER58" s="290">
        <f t="shared" si="31"/>
        <v>398.66109403779666</v>
      </c>
      <c r="ES58" s="291">
        <f t="shared" si="23"/>
        <v>1.614624647639199</v>
      </c>
      <c r="ET58" s="402">
        <v>0</v>
      </c>
      <c r="EV58" s="34"/>
      <c r="EW58" s="34"/>
      <c r="EX58" s="34"/>
      <c r="EY58" s="34"/>
      <c r="EZ58" s="378"/>
      <c r="FA58" s="401"/>
      <c r="FB58" s="402"/>
      <c r="FC58" s="402"/>
    </row>
    <row r="59" spans="1:159" ht="17" customHeight="1">
      <c r="EC59" s="412" t="s">
        <v>15</v>
      </c>
      <c r="ED59" s="412" t="s">
        <v>92</v>
      </c>
      <c r="EE59" s="412">
        <v>20670.0766</v>
      </c>
      <c r="EF59" s="412">
        <v>9.5999901070773372E-2</v>
      </c>
      <c r="EG59" s="413">
        <v>859015</v>
      </c>
      <c r="EH59" s="414">
        <f t="shared" si="29"/>
        <v>710.47037647788693</v>
      </c>
      <c r="EI59" s="415">
        <f t="shared" si="30"/>
        <v>2.8774891717172126</v>
      </c>
      <c r="EJ59" s="402">
        <v>0</v>
      </c>
      <c r="EM59" s="278" t="s">
        <v>15</v>
      </c>
      <c r="EN59" s="278" t="s">
        <v>92</v>
      </c>
      <c r="EO59" s="278">
        <v>20670.0766</v>
      </c>
      <c r="EP59" s="278">
        <v>9.5999901070773372E-2</v>
      </c>
      <c r="EQ59" s="289">
        <v>859015</v>
      </c>
      <c r="ER59" s="290">
        <f t="shared" si="31"/>
        <v>710.47037647788693</v>
      </c>
      <c r="ES59" s="291">
        <f t="shared" si="23"/>
        <v>2.8774891717172126</v>
      </c>
      <c r="ET59" s="402">
        <v>0</v>
      </c>
      <c r="EV59" s="34"/>
      <c r="EW59" s="34"/>
      <c r="EX59" s="34"/>
      <c r="EY59" s="34"/>
      <c r="EZ59" s="378"/>
      <c r="FA59" s="401"/>
      <c r="FB59" s="402"/>
      <c r="FC59" s="402"/>
    </row>
    <row r="60" spans="1:159" ht="17" customHeight="1">
      <c r="EC60" s="412" t="s">
        <v>15</v>
      </c>
      <c r="ED60" s="412" t="s">
        <v>93</v>
      </c>
      <c r="EE60" s="412">
        <v>6590.8657999999996</v>
      </c>
      <c r="EF60" s="412">
        <v>3.061055249165083E-2</v>
      </c>
      <c r="EG60" s="413">
        <v>859016</v>
      </c>
      <c r="EH60" s="414">
        <f t="shared" si="29"/>
        <v>226.54076212960084</v>
      </c>
      <c r="EI60" s="415">
        <f t="shared" si="30"/>
        <v>0.91751691775255928</v>
      </c>
      <c r="EJ60" s="402">
        <v>0</v>
      </c>
      <c r="EM60" s="278" t="s">
        <v>15</v>
      </c>
      <c r="EN60" s="278" t="s">
        <v>93</v>
      </c>
      <c r="EO60" s="278">
        <v>6590.8657999999996</v>
      </c>
      <c r="EP60" s="278">
        <v>3.061055249165083E-2</v>
      </c>
      <c r="EQ60" s="289">
        <v>859016</v>
      </c>
      <c r="ER60" s="290">
        <f t="shared" si="31"/>
        <v>226.54076212960084</v>
      </c>
      <c r="ES60" s="291">
        <f t="shared" si="23"/>
        <v>0.91751691775255928</v>
      </c>
      <c r="ET60" s="402">
        <v>0</v>
      </c>
      <c r="EV60" s="34"/>
      <c r="EW60" s="34"/>
      <c r="EX60" s="34"/>
      <c r="EY60" s="34"/>
      <c r="EZ60" s="378"/>
      <c r="FA60" s="401"/>
      <c r="FB60" s="402"/>
      <c r="FC60" s="402"/>
    </row>
    <row r="61" spans="1:159" ht="17" customHeight="1">
      <c r="EC61" s="412" t="s">
        <v>15</v>
      </c>
      <c r="ED61" s="412" t="s">
        <v>94</v>
      </c>
      <c r="EE61" s="412">
        <v>3970.3760000000002</v>
      </c>
      <c r="EF61" s="412">
        <v>1.843997536098985E-2</v>
      </c>
      <c r="EG61" s="413">
        <v>859017</v>
      </c>
      <c r="EH61" s="414">
        <f t="shared" si="29"/>
        <v>136.46947643526229</v>
      </c>
      <c r="EI61" s="415">
        <f t="shared" si="30"/>
        <v>0.55271754279062024</v>
      </c>
      <c r="EJ61" s="402">
        <v>0</v>
      </c>
      <c r="EM61" s="278" t="s">
        <v>15</v>
      </c>
      <c r="EN61" s="278" t="s">
        <v>94</v>
      </c>
      <c r="EO61" s="278">
        <v>3970.3760000000002</v>
      </c>
      <c r="EP61" s="278">
        <v>1.843997536098985E-2</v>
      </c>
      <c r="EQ61" s="289">
        <v>859017</v>
      </c>
      <c r="ER61" s="290">
        <f t="shared" si="31"/>
        <v>136.46947643526229</v>
      </c>
      <c r="ES61" s="291">
        <f t="shared" si="23"/>
        <v>0.55271754279062024</v>
      </c>
      <c r="ET61" s="402">
        <v>0</v>
      </c>
      <c r="EV61" s="34"/>
      <c r="EW61" s="34"/>
      <c r="EX61" s="34"/>
      <c r="EY61" s="34"/>
      <c r="EZ61" s="378"/>
      <c r="FA61" s="401"/>
      <c r="FB61" s="402"/>
      <c r="FC61" s="402"/>
    </row>
    <row r="62" spans="1:159" ht="17" customHeight="1">
      <c r="EC62" s="412" t="s">
        <v>15</v>
      </c>
      <c r="ED62" s="412" t="s">
        <v>95</v>
      </c>
      <c r="EE62" s="412">
        <v>14487.1335</v>
      </c>
      <c r="EF62" s="412">
        <v>6.7283900766922491E-2</v>
      </c>
      <c r="EG62" s="413">
        <v>859018</v>
      </c>
      <c r="EH62" s="414">
        <f t="shared" si="29"/>
        <v>497.9507038609816</v>
      </c>
      <c r="EI62" s="415">
        <f t="shared" si="30"/>
        <v>2.0167593271266191</v>
      </c>
      <c r="EJ62" s="402">
        <v>0</v>
      </c>
      <c r="EM62" s="278" t="s">
        <v>15</v>
      </c>
      <c r="EN62" s="278" t="s">
        <v>95</v>
      </c>
      <c r="EO62" s="278">
        <v>14487.1335</v>
      </c>
      <c r="EP62" s="278">
        <v>6.7283900766922491E-2</v>
      </c>
      <c r="EQ62" s="289">
        <v>859018</v>
      </c>
      <c r="ER62" s="290">
        <f t="shared" si="31"/>
        <v>497.9507038609816</v>
      </c>
      <c r="ES62" s="291">
        <f t="shared" si="23"/>
        <v>2.0167593271266191</v>
      </c>
      <c r="ET62" s="402">
        <v>0</v>
      </c>
      <c r="EV62" s="34"/>
      <c r="EW62" s="34"/>
      <c r="EX62" s="34"/>
      <c r="EY62" s="34"/>
      <c r="EZ62" s="378"/>
      <c r="FA62" s="401"/>
      <c r="FB62" s="402"/>
      <c r="FC62" s="402"/>
    </row>
    <row r="63" spans="1:159" ht="17" customHeight="1">
      <c r="EC63" s="412" t="s">
        <v>15</v>
      </c>
      <c r="ED63" s="412" t="s">
        <v>96</v>
      </c>
      <c r="EE63" s="412">
        <v>7440.5132000000003</v>
      </c>
      <c r="EF63" s="412">
        <v>3.4556646544589169E-2</v>
      </c>
      <c r="EG63" s="413">
        <v>859019</v>
      </c>
      <c r="EH63" s="414">
        <f t="shared" si="29"/>
        <v>255.74478105188479</v>
      </c>
      <c r="EI63" s="415">
        <f t="shared" si="30"/>
        <v>1.0357966532653771</v>
      </c>
      <c r="EJ63" s="402">
        <v>0</v>
      </c>
      <c r="EM63" s="278" t="s">
        <v>15</v>
      </c>
      <c r="EN63" s="278" t="s">
        <v>96</v>
      </c>
      <c r="EO63" s="278">
        <v>7440.5132000000003</v>
      </c>
      <c r="EP63" s="278">
        <v>3.4556646544589169E-2</v>
      </c>
      <c r="EQ63" s="289">
        <v>859019</v>
      </c>
      <c r="ER63" s="290">
        <f t="shared" si="31"/>
        <v>255.74478105188479</v>
      </c>
      <c r="ES63" s="291">
        <f t="shared" si="23"/>
        <v>1.0357966532653771</v>
      </c>
      <c r="ET63" s="402">
        <v>0</v>
      </c>
      <c r="EV63" s="34"/>
      <c r="EW63" s="34"/>
      <c r="EX63" s="34"/>
      <c r="EY63" s="34"/>
      <c r="EZ63" s="378"/>
      <c r="FA63" s="401"/>
      <c r="FB63" s="402"/>
      <c r="FC63" s="402"/>
    </row>
    <row r="64" spans="1:159" ht="17" customHeight="1">
      <c r="EC64" s="412" t="s">
        <v>15</v>
      </c>
      <c r="ED64" s="412" t="s">
        <v>97</v>
      </c>
      <c r="EE64" s="412">
        <v>20150.029900000001</v>
      </c>
      <c r="EF64" s="412">
        <v>9.3584601276858623E-2</v>
      </c>
      <c r="EG64" s="413">
        <v>859020</v>
      </c>
      <c r="EH64" s="414">
        <f t="shared" si="29"/>
        <v>692.59536895444694</v>
      </c>
      <c r="EI64" s="415">
        <f t="shared" si="30"/>
        <v>2.8050932741598098</v>
      </c>
      <c r="EJ64" s="402">
        <v>0</v>
      </c>
      <c r="EM64" s="278" t="s">
        <v>15</v>
      </c>
      <c r="EN64" s="278" t="s">
        <v>97</v>
      </c>
      <c r="EO64" s="278">
        <v>20150.029900000001</v>
      </c>
      <c r="EP64" s="278">
        <v>9.3584601276858623E-2</v>
      </c>
      <c r="EQ64" s="289">
        <v>859020</v>
      </c>
      <c r="ER64" s="290">
        <f t="shared" si="31"/>
        <v>692.59536895444694</v>
      </c>
      <c r="ES64" s="291">
        <f t="shared" si="23"/>
        <v>2.8050932741598098</v>
      </c>
      <c r="ET64" s="402">
        <v>0</v>
      </c>
      <c r="EV64" s="34"/>
      <c r="EW64" s="34"/>
      <c r="EX64" s="34"/>
      <c r="EY64" s="34"/>
      <c r="EZ64" s="378"/>
      <c r="FA64" s="401"/>
      <c r="FB64" s="402"/>
      <c r="FC64" s="402"/>
    </row>
    <row r="65" spans="133:159" ht="17" customHeight="1">
      <c r="EC65" s="412" t="s">
        <v>15</v>
      </c>
      <c r="ED65" s="412" t="s">
        <v>98</v>
      </c>
      <c r="EE65" s="412">
        <v>8631.4781000000003</v>
      </c>
      <c r="EF65" s="412">
        <v>4.0087952247576428E-2</v>
      </c>
      <c r="EG65" s="413">
        <v>859021</v>
      </c>
      <c r="EH65" s="414">
        <f t="shared" si="29"/>
        <v>296.68054037437076</v>
      </c>
      <c r="EI65" s="415">
        <f t="shared" si="30"/>
        <v>1.2015913268876932</v>
      </c>
      <c r="EJ65" s="402">
        <v>0</v>
      </c>
      <c r="EM65" s="278" t="s">
        <v>15</v>
      </c>
      <c r="EN65" s="278" t="s">
        <v>98</v>
      </c>
      <c r="EO65" s="278">
        <v>8631.4781000000003</v>
      </c>
      <c r="EP65" s="278">
        <v>4.0087952247576428E-2</v>
      </c>
      <c r="EQ65" s="289">
        <v>859021</v>
      </c>
      <c r="ER65" s="290">
        <f t="shared" si="31"/>
        <v>296.68054037437076</v>
      </c>
      <c r="ES65" s="291">
        <f t="shared" si="23"/>
        <v>1.2015913268876932</v>
      </c>
      <c r="ET65" s="402">
        <v>0</v>
      </c>
      <c r="EV65" s="34"/>
      <c r="EW65" s="34"/>
      <c r="EX65" s="34"/>
      <c r="EY65" s="34"/>
      <c r="EZ65" s="378"/>
      <c r="FA65" s="401"/>
      <c r="FB65" s="402"/>
      <c r="FC65" s="402"/>
    </row>
    <row r="66" spans="133:159" ht="17" customHeight="1">
      <c r="EC66" s="412" t="s">
        <v>15</v>
      </c>
      <c r="ED66" s="412" t="s">
        <v>99</v>
      </c>
      <c r="EE66" s="412">
        <v>11977.777099999999</v>
      </c>
      <c r="EF66" s="412">
        <v>5.56294705094501E-2</v>
      </c>
      <c r="EG66" s="413">
        <v>859022</v>
      </c>
      <c r="EH66" s="414">
        <f t="shared" si="29"/>
        <v>411.69928734590229</v>
      </c>
      <c r="EI66" s="415">
        <f t="shared" si="30"/>
        <v>1.667430874759912</v>
      </c>
      <c r="EJ66" s="402">
        <v>0</v>
      </c>
      <c r="EM66" s="278" t="s">
        <v>15</v>
      </c>
      <c r="EN66" s="278" t="s">
        <v>99</v>
      </c>
      <c r="EO66" s="278">
        <v>11977.777099999999</v>
      </c>
      <c r="EP66" s="278">
        <v>5.56294705094501E-2</v>
      </c>
      <c r="EQ66" s="289">
        <v>859022</v>
      </c>
      <c r="ER66" s="290">
        <f t="shared" si="31"/>
        <v>411.69928734590229</v>
      </c>
      <c r="ES66" s="291">
        <f t="shared" si="23"/>
        <v>1.667430874759912</v>
      </c>
      <c r="ET66" s="402">
        <v>0</v>
      </c>
      <c r="EV66" s="34"/>
      <c r="EW66" s="34"/>
      <c r="EX66" s="34"/>
      <c r="EY66" s="34"/>
      <c r="EZ66" s="378"/>
      <c r="FA66" s="401"/>
      <c r="FB66" s="402"/>
      <c r="FC66" s="402"/>
    </row>
    <row r="67" spans="133:159" ht="17" customHeight="1">
      <c r="EC67" s="412" t="s">
        <v>15</v>
      </c>
      <c r="ED67" s="412" t="s">
        <v>100</v>
      </c>
      <c r="EE67" s="412">
        <v>5754.1068999999998</v>
      </c>
      <c r="EF67" s="412">
        <v>2.672431766172818E-2</v>
      </c>
      <c r="EG67" s="413">
        <v>859023</v>
      </c>
      <c r="EH67" s="414">
        <f t="shared" si="29"/>
        <v>197.77974579624956</v>
      </c>
      <c r="EI67" s="415">
        <f t="shared" si="30"/>
        <v>0.80103139519344091</v>
      </c>
      <c r="EJ67" s="402">
        <v>0</v>
      </c>
      <c r="EM67" s="278" t="s">
        <v>15</v>
      </c>
      <c r="EN67" s="278" t="s">
        <v>100</v>
      </c>
      <c r="EO67" s="278">
        <v>5754.1068999999998</v>
      </c>
      <c r="EP67" s="278">
        <v>2.672431766172818E-2</v>
      </c>
      <c r="EQ67" s="289">
        <v>859023</v>
      </c>
      <c r="ER67" s="290">
        <f t="shared" si="31"/>
        <v>197.77974579624956</v>
      </c>
      <c r="ES67" s="291">
        <f t="shared" si="23"/>
        <v>0.80103139519344091</v>
      </c>
      <c r="ET67" s="402">
        <v>0</v>
      </c>
      <c r="EV67" s="34"/>
      <c r="EW67" s="34"/>
      <c r="EX67" s="34"/>
      <c r="EY67" s="34"/>
      <c r="EZ67" s="378"/>
      <c r="FA67" s="401"/>
      <c r="FB67" s="402"/>
      <c r="FC67" s="402"/>
    </row>
    <row r="68" spans="133:159" ht="17" customHeight="1">
      <c r="EC68" s="412" t="s">
        <v>15</v>
      </c>
      <c r="ED68" s="412" t="s">
        <v>101</v>
      </c>
      <c r="EE68" s="412">
        <v>6005.2467999999999</v>
      </c>
      <c r="EF68" s="412">
        <v>2.7890709350616452E-2</v>
      </c>
      <c r="EG68" s="413">
        <v>859024</v>
      </c>
      <c r="EH68" s="414">
        <f t="shared" si="29"/>
        <v>206.41190825769002</v>
      </c>
      <c r="EI68" s="415">
        <f t="shared" si="30"/>
        <v>0.83599267554187195</v>
      </c>
      <c r="EJ68" s="402">
        <v>0</v>
      </c>
      <c r="EM68" s="278" t="s">
        <v>15</v>
      </c>
      <c r="EN68" s="278" t="s">
        <v>101</v>
      </c>
      <c r="EO68" s="278">
        <v>6005.2467999999999</v>
      </c>
      <c r="EP68" s="278">
        <v>2.7890709350616452E-2</v>
      </c>
      <c r="EQ68" s="289">
        <v>859024</v>
      </c>
      <c r="ER68" s="290">
        <f t="shared" si="31"/>
        <v>206.41190825769002</v>
      </c>
      <c r="ES68" s="291">
        <f t="shared" si="23"/>
        <v>0.83599267554187195</v>
      </c>
      <c r="ET68" s="402">
        <v>0</v>
      </c>
      <c r="EV68" s="34"/>
      <c r="EW68" s="34"/>
      <c r="EX68" s="34"/>
      <c r="EY68" s="34"/>
      <c r="EZ68" s="378"/>
      <c r="FA68" s="401"/>
      <c r="FB68" s="402"/>
      <c r="FC68" s="402"/>
    </row>
    <row r="69" spans="133:159" ht="17" customHeight="1">
      <c r="EC69" s="412" t="s">
        <v>16</v>
      </c>
      <c r="ED69" s="412" t="s">
        <v>575</v>
      </c>
      <c r="EE69" s="412">
        <v>10596.0813</v>
      </c>
      <c r="EF69" s="412">
        <v>0.3566329663552395</v>
      </c>
      <c r="EG69" s="413">
        <v>859025</v>
      </c>
      <c r="EH69" s="414">
        <f t="shared" si="29"/>
        <v>286.07268837103572</v>
      </c>
      <c r="EI69" s="415">
        <f t="shared" si="30"/>
        <v>1.1586282698970616</v>
      </c>
      <c r="EJ69" s="402">
        <v>0</v>
      </c>
      <c r="EM69" s="278" t="s">
        <v>16</v>
      </c>
      <c r="EN69" s="278" t="s">
        <v>575</v>
      </c>
      <c r="EO69" s="278">
        <v>10596.0813</v>
      </c>
      <c r="EP69" s="278">
        <v>0.3566329663552395</v>
      </c>
      <c r="EQ69" s="289">
        <v>859025</v>
      </c>
      <c r="ER69" s="290">
        <f t="shared" si="31"/>
        <v>286.07268837103572</v>
      </c>
      <c r="ES69" s="291">
        <f t="shared" si="23"/>
        <v>1.1586282698970616</v>
      </c>
      <c r="ET69" s="402">
        <v>0</v>
      </c>
      <c r="EV69" s="34"/>
      <c r="EW69" s="34"/>
      <c r="EX69" s="34"/>
      <c r="EY69" s="34"/>
      <c r="EZ69" s="378"/>
      <c r="FA69" s="401"/>
      <c r="FB69" s="402"/>
      <c r="FC69" s="402"/>
    </row>
    <row r="70" spans="133:159" ht="17" customHeight="1">
      <c r="EC70" s="412" t="s">
        <v>16</v>
      </c>
      <c r="ED70" s="412" t="s">
        <v>576</v>
      </c>
      <c r="EE70" s="412">
        <v>10127.7948</v>
      </c>
      <c r="EF70" s="412">
        <v>0.34087181854306553</v>
      </c>
      <c r="EG70" s="413">
        <v>859026</v>
      </c>
      <c r="EH70" s="414">
        <f t="shared" si="29"/>
        <v>273.42990334607913</v>
      </c>
      <c r="EI70" s="415">
        <f t="shared" si="30"/>
        <v>1.1074234931546305</v>
      </c>
      <c r="EJ70" s="402">
        <v>0</v>
      </c>
      <c r="EM70" s="278" t="s">
        <v>16</v>
      </c>
      <c r="EN70" s="278" t="s">
        <v>576</v>
      </c>
      <c r="EO70" s="278">
        <v>10127.7948</v>
      </c>
      <c r="EP70" s="278">
        <v>0.34087181854306553</v>
      </c>
      <c r="EQ70" s="289">
        <v>859026</v>
      </c>
      <c r="ER70" s="290">
        <f t="shared" si="31"/>
        <v>273.42990334607913</v>
      </c>
      <c r="ES70" s="291">
        <f t="shared" si="23"/>
        <v>1.1074234931546305</v>
      </c>
      <c r="ET70" s="402">
        <v>0</v>
      </c>
      <c r="EV70" s="34"/>
      <c r="EW70" s="34"/>
      <c r="EX70" s="34"/>
      <c r="EY70" s="34"/>
      <c r="EZ70" s="378"/>
      <c r="FA70" s="401"/>
      <c r="FB70" s="402"/>
      <c r="FC70" s="402"/>
    </row>
    <row r="71" spans="133:159" ht="17" customHeight="1">
      <c r="EC71" s="412" t="s">
        <v>16</v>
      </c>
      <c r="ED71" s="412" t="s">
        <v>382</v>
      </c>
      <c r="EE71" s="412">
        <v>8987.5704000000005</v>
      </c>
      <c r="EF71" s="412">
        <v>0.30249521510169491</v>
      </c>
      <c r="EG71" s="413">
        <v>859027</v>
      </c>
      <c r="EH71" s="414">
        <f t="shared" si="29"/>
        <v>242.64615884477462</v>
      </c>
      <c r="EI71" s="415">
        <f t="shared" si="30"/>
        <v>0.98274568194659306</v>
      </c>
      <c r="EJ71" s="402">
        <v>0</v>
      </c>
      <c r="EM71" s="278" t="s">
        <v>16</v>
      </c>
      <c r="EN71" s="278" t="s">
        <v>382</v>
      </c>
      <c r="EO71" s="278">
        <v>8987.5704000000005</v>
      </c>
      <c r="EP71" s="278">
        <v>0.30249521510169491</v>
      </c>
      <c r="EQ71" s="289">
        <v>859027</v>
      </c>
      <c r="ER71" s="290">
        <f t="shared" si="31"/>
        <v>242.64615884477462</v>
      </c>
      <c r="ES71" s="291">
        <f t="shared" si="23"/>
        <v>0.98274568194659306</v>
      </c>
      <c r="ET71" s="402">
        <v>0</v>
      </c>
      <c r="EV71" s="34"/>
      <c r="EW71" s="34"/>
      <c r="EX71" s="34"/>
      <c r="EY71" s="34"/>
      <c r="EZ71" s="378"/>
      <c r="FA71" s="401"/>
      <c r="FB71" s="402"/>
      <c r="FC71" s="402"/>
    </row>
    <row r="72" spans="133:159" ht="17" customHeight="1">
      <c r="EC72" s="412" t="s">
        <v>17</v>
      </c>
      <c r="ED72" s="412" t="s">
        <v>577</v>
      </c>
      <c r="EE72" s="412">
        <v>2607.4872</v>
      </c>
      <c r="EF72" s="412">
        <v>3.7361234000204045E-2</v>
      </c>
      <c r="EG72" s="413">
        <v>859028</v>
      </c>
      <c r="EH72" s="414">
        <f t="shared" si="29"/>
        <v>25.584450728869129</v>
      </c>
      <c r="EI72" s="415">
        <f t="shared" si="30"/>
        <v>0.10362005563358603</v>
      </c>
      <c r="EJ72" s="402">
        <f t="shared" ref="EJ72" si="32">VLOOKUP($ED72,$AC$180:$AG$186,5,FALSE)</f>
        <v>69.65379732123462</v>
      </c>
      <c r="EM72" s="278" t="s">
        <v>17</v>
      </c>
      <c r="EN72" s="278" t="s">
        <v>577</v>
      </c>
      <c r="EO72" s="278">
        <v>2607.4872</v>
      </c>
      <c r="EP72" s="278">
        <v>3.7361234000204045E-2</v>
      </c>
      <c r="EQ72" s="289">
        <v>859028</v>
      </c>
      <c r="ER72" s="290">
        <f t="shared" si="31"/>
        <v>25.584450728869129</v>
      </c>
      <c r="ES72" s="291">
        <f t="shared" si="23"/>
        <v>0.10362005563358603</v>
      </c>
      <c r="ET72" s="402">
        <f t="shared" ref="ET72" si="33">VLOOKUP($ED72,$AC$180:$AG$186,5,FALSE)</f>
        <v>69.65379732123462</v>
      </c>
      <c r="EV72" s="34"/>
      <c r="EW72" s="34"/>
      <c r="EX72" s="34"/>
      <c r="EY72" s="34"/>
      <c r="EZ72" s="378"/>
      <c r="FA72" s="401"/>
      <c r="FB72" s="402"/>
      <c r="FC72" s="402"/>
    </row>
    <row r="73" spans="133:159" ht="17" customHeight="1">
      <c r="EC73" s="412" t="s">
        <v>17</v>
      </c>
      <c r="ED73" s="412" t="s">
        <v>103</v>
      </c>
      <c r="EE73" s="412">
        <v>15824.4439</v>
      </c>
      <c r="EF73" s="412">
        <v>0.22673965627559034</v>
      </c>
      <c r="EG73" s="413">
        <v>859029</v>
      </c>
      <c r="EH73" s="414">
        <f t="shared" si="29"/>
        <v>155.26814677030961</v>
      </c>
      <c r="EI73" s="415">
        <f t="shared" si="30"/>
        <v>0.62885438413218719</v>
      </c>
      <c r="EJ73" s="402">
        <f>VLOOKUP($ED73,$AC$180:$AG$186,5,FALSE)</f>
        <v>422.7183198183476</v>
      </c>
      <c r="EM73" s="278" t="s">
        <v>17</v>
      </c>
      <c r="EN73" s="278" t="s">
        <v>103</v>
      </c>
      <c r="EO73" s="278">
        <v>15824.4439</v>
      </c>
      <c r="EP73" s="278">
        <v>0.22673965627559034</v>
      </c>
      <c r="EQ73" s="289">
        <v>859029</v>
      </c>
      <c r="ER73" s="290">
        <f t="shared" si="31"/>
        <v>155.26814677030961</v>
      </c>
      <c r="ES73" s="291">
        <f t="shared" si="23"/>
        <v>0.62885438413218719</v>
      </c>
      <c r="ET73" s="402">
        <f>VLOOKUP($ED73,$AC$180:$AG$186,5,FALSE)</f>
        <v>422.7183198183476</v>
      </c>
      <c r="EV73" s="34"/>
      <c r="EW73" s="34"/>
      <c r="EX73" s="34"/>
      <c r="EY73" s="34"/>
      <c r="EZ73" s="378"/>
      <c r="FA73" s="401"/>
      <c r="FB73" s="402"/>
      <c r="FC73" s="402"/>
    </row>
    <row r="74" spans="133:159" ht="17" customHeight="1">
      <c r="EC74" s="412" t="s">
        <v>17</v>
      </c>
      <c r="ED74" s="412" t="s">
        <v>104</v>
      </c>
      <c r="EE74" s="412">
        <v>11511.7454</v>
      </c>
      <c r="EF74" s="412">
        <v>0.16494539786817458</v>
      </c>
      <c r="EG74" s="413">
        <v>859030</v>
      </c>
      <c r="EH74" s="414">
        <f t="shared" si="29"/>
        <v>112.95230250395318</v>
      </c>
      <c r="EI74" s="415">
        <f t="shared" si="30"/>
        <v>0.45747020303212921</v>
      </c>
      <c r="EJ74" s="402">
        <f t="shared" ref="EJ74:EJ77" si="34">VLOOKUP($ED74,$AC$180:$AG$186,5,FALSE)</f>
        <v>307.5132184369898</v>
      </c>
      <c r="EM74" s="278" t="s">
        <v>17</v>
      </c>
      <c r="EN74" s="278" t="s">
        <v>104</v>
      </c>
      <c r="EO74" s="278">
        <v>11511.7454</v>
      </c>
      <c r="EP74" s="278">
        <v>0.16494539786817458</v>
      </c>
      <c r="EQ74" s="289">
        <v>859030</v>
      </c>
      <c r="ER74" s="290">
        <f t="shared" si="31"/>
        <v>112.95230250395318</v>
      </c>
      <c r="ES74" s="291">
        <f t="shared" si="23"/>
        <v>0.45747020303212921</v>
      </c>
      <c r="ET74" s="402">
        <f t="shared" ref="ET74:ET77" si="35">VLOOKUP($ED74,$AC$180:$AG$186,5,FALSE)</f>
        <v>307.5132184369898</v>
      </c>
      <c r="EV74" s="34"/>
      <c r="EW74" s="34"/>
      <c r="EX74" s="34"/>
      <c r="EY74" s="34"/>
      <c r="EZ74" s="378"/>
      <c r="FA74" s="401"/>
      <c r="FB74" s="402"/>
      <c r="FC74" s="402"/>
    </row>
    <row r="75" spans="133:159" ht="17" customHeight="1">
      <c r="EC75" s="412" t="s">
        <v>17</v>
      </c>
      <c r="ED75" s="412" t="s">
        <v>117</v>
      </c>
      <c r="EE75" s="412">
        <v>4659.9287999999997</v>
      </c>
      <c r="EF75" s="412">
        <v>6.6769528272694875E-2</v>
      </c>
      <c r="EG75" s="413">
        <v>859031</v>
      </c>
      <c r="EH75" s="414">
        <f t="shared" si="29"/>
        <v>45.722839515238356</v>
      </c>
      <c r="EI75" s="415">
        <f t="shared" si="30"/>
        <v>0.18518291537713003</v>
      </c>
      <c r="EJ75" s="402">
        <f t="shared" si="34"/>
        <v>124.48066328631798</v>
      </c>
      <c r="EM75" s="278" t="s">
        <v>17</v>
      </c>
      <c r="EN75" s="278" t="s">
        <v>117</v>
      </c>
      <c r="EO75" s="278">
        <v>4659.9287999999997</v>
      </c>
      <c r="EP75" s="278">
        <v>6.6769528272694875E-2</v>
      </c>
      <c r="EQ75" s="289">
        <v>859031</v>
      </c>
      <c r="ER75" s="290">
        <f t="shared" si="31"/>
        <v>45.722839515238356</v>
      </c>
      <c r="ES75" s="291">
        <f t="shared" si="23"/>
        <v>0.18518291537713003</v>
      </c>
      <c r="ET75" s="402">
        <f t="shared" si="35"/>
        <v>124.48066328631798</v>
      </c>
      <c r="EV75" s="34"/>
      <c r="EW75" s="34"/>
      <c r="EX75" s="34"/>
      <c r="EY75" s="34"/>
      <c r="EZ75" s="378"/>
      <c r="FA75" s="401"/>
      <c r="FB75" s="402"/>
      <c r="FC75" s="402"/>
    </row>
    <row r="76" spans="133:159" ht="17" customHeight="1">
      <c r="EC76" s="412" t="s">
        <v>17</v>
      </c>
      <c r="ED76" s="412" t="s">
        <v>118</v>
      </c>
      <c r="EE76" s="412">
        <v>23055.857</v>
      </c>
      <c r="EF76" s="412">
        <v>0.33035455301649896</v>
      </c>
      <c r="EG76" s="413">
        <v>859032</v>
      </c>
      <c r="EH76" s="414">
        <f t="shared" si="29"/>
        <v>226.22217950997131</v>
      </c>
      <c r="EI76" s="415">
        <f t="shared" si="30"/>
        <v>0.91622662041064062</v>
      </c>
      <c r="EJ76" s="402">
        <f t="shared" si="34"/>
        <v>615.89103507214475</v>
      </c>
      <c r="EM76" s="278" t="s">
        <v>17</v>
      </c>
      <c r="EN76" s="278" t="s">
        <v>118</v>
      </c>
      <c r="EO76" s="278">
        <v>23055.857</v>
      </c>
      <c r="EP76" s="278">
        <v>0.33035455301649896</v>
      </c>
      <c r="EQ76" s="289">
        <v>859032</v>
      </c>
      <c r="ER76" s="290">
        <f t="shared" si="31"/>
        <v>226.22217950997131</v>
      </c>
      <c r="ES76" s="291">
        <f t="shared" si="23"/>
        <v>0.91622662041064062</v>
      </c>
      <c r="ET76" s="402">
        <f t="shared" si="35"/>
        <v>615.89103507214475</v>
      </c>
      <c r="EV76" s="34"/>
      <c r="EW76" s="34"/>
      <c r="EX76" s="34"/>
      <c r="EY76" s="34"/>
      <c r="EZ76" s="378"/>
      <c r="FA76" s="401"/>
      <c r="FB76" s="402"/>
      <c r="FC76" s="402"/>
    </row>
    <row r="77" spans="133:159" ht="17" customHeight="1">
      <c r="EC77" s="412" t="s">
        <v>17</v>
      </c>
      <c r="ED77" s="412" t="s">
        <v>119</v>
      </c>
      <c r="EE77" s="412">
        <v>12131.7871</v>
      </c>
      <c r="EF77" s="412">
        <v>0.17382963056683723</v>
      </c>
      <c r="EG77" s="413">
        <v>859033</v>
      </c>
      <c r="EH77" s="414">
        <f t="shared" si="29"/>
        <v>119.03610085337336</v>
      </c>
      <c r="EI77" s="415">
        <f t="shared" si="30"/>
        <v>0.48211030690268447</v>
      </c>
      <c r="EJ77" s="402">
        <f t="shared" si="34"/>
        <v>324.07639040673678</v>
      </c>
      <c r="EM77" s="278" t="s">
        <v>17</v>
      </c>
      <c r="EN77" s="278" t="s">
        <v>119</v>
      </c>
      <c r="EO77" s="278">
        <v>12131.7871</v>
      </c>
      <c r="EP77" s="278">
        <v>0.17382963056683723</v>
      </c>
      <c r="EQ77" s="289">
        <v>859033</v>
      </c>
      <c r="ER77" s="290">
        <f t="shared" si="31"/>
        <v>119.03610085337336</v>
      </c>
      <c r="ES77" s="291">
        <f t="shared" si="23"/>
        <v>0.48211030690268447</v>
      </c>
      <c r="ET77" s="402">
        <f t="shared" si="35"/>
        <v>324.07639040673678</v>
      </c>
      <c r="EV77" s="34"/>
      <c r="EW77" s="34"/>
      <c r="EX77" s="34"/>
      <c r="EY77" s="34"/>
      <c r="EZ77" s="378"/>
      <c r="FA77" s="401"/>
      <c r="FB77" s="402"/>
      <c r="FC77" s="402"/>
    </row>
    <row r="78" spans="133:159" ht="17" customHeight="1">
      <c r="EC78" s="412" t="s">
        <v>852</v>
      </c>
      <c r="ED78" s="412" t="s">
        <v>579</v>
      </c>
      <c r="EE78" s="412">
        <v>17191.4817</v>
      </c>
      <c r="EF78" s="412">
        <v>0.33368246308233862</v>
      </c>
      <c r="EG78" s="413">
        <v>859034</v>
      </c>
      <c r="EH78" s="414">
        <f t="shared" si="29"/>
        <v>293.37359972487661</v>
      </c>
      <c r="EI78" s="415">
        <f t="shared" si="30"/>
        <v>1.1881978255884493</v>
      </c>
      <c r="EJ78" s="402">
        <v>0</v>
      </c>
      <c r="EM78" s="278" t="s">
        <v>852</v>
      </c>
      <c r="EN78" s="278" t="s">
        <v>579</v>
      </c>
      <c r="EO78" s="278">
        <v>17191.4817</v>
      </c>
      <c r="EP78" s="278">
        <v>0.33368246308233862</v>
      </c>
      <c r="EQ78" s="289">
        <v>859034</v>
      </c>
      <c r="ER78" s="290">
        <f t="shared" si="31"/>
        <v>293.37359972487661</v>
      </c>
      <c r="ES78" s="291">
        <f t="shared" si="23"/>
        <v>1.1881978255884493</v>
      </c>
      <c r="ET78" s="402">
        <v>0</v>
      </c>
      <c r="EV78" s="34"/>
      <c r="EW78" s="34"/>
      <c r="EX78" s="34"/>
      <c r="EY78" s="34"/>
      <c r="EZ78" s="378"/>
      <c r="FA78" s="401"/>
      <c r="FB78" s="402"/>
      <c r="FC78" s="402"/>
    </row>
    <row r="79" spans="133:159" ht="17" customHeight="1">
      <c r="EC79" s="412" t="s">
        <v>578</v>
      </c>
      <c r="ED79" s="412" t="s">
        <v>580</v>
      </c>
      <c r="EE79" s="412">
        <v>22736.497299999999</v>
      </c>
      <c r="EF79" s="412">
        <v>0.44130986225166047</v>
      </c>
      <c r="EG79" s="413">
        <v>859035</v>
      </c>
      <c r="EH79" s="414">
        <f t="shared" si="29"/>
        <v>387.99960203755666</v>
      </c>
      <c r="EI79" s="415">
        <f t="shared" si="30"/>
        <v>1.571444342308066</v>
      </c>
      <c r="EJ79" s="402">
        <v>0</v>
      </c>
      <c r="EM79" s="278" t="s">
        <v>578</v>
      </c>
      <c r="EN79" s="278" t="s">
        <v>580</v>
      </c>
      <c r="EO79" s="278">
        <v>22736.497299999999</v>
      </c>
      <c r="EP79" s="278">
        <v>0.44130986225166047</v>
      </c>
      <c r="EQ79" s="289">
        <v>859035</v>
      </c>
      <c r="ER79" s="290">
        <f t="shared" si="31"/>
        <v>387.99960203755666</v>
      </c>
      <c r="ES79" s="291">
        <f t="shared" si="23"/>
        <v>1.571444342308066</v>
      </c>
      <c r="ET79" s="402">
        <v>0</v>
      </c>
      <c r="EV79" s="34"/>
      <c r="EW79" s="34"/>
      <c r="EX79" s="34"/>
      <c r="EY79" s="34"/>
      <c r="EZ79" s="378"/>
      <c r="FA79" s="401"/>
      <c r="FB79" s="402"/>
      <c r="FC79" s="402"/>
    </row>
    <row r="80" spans="133:159" ht="17" customHeight="1">
      <c r="EC80" s="412" t="s">
        <v>578</v>
      </c>
      <c r="ED80" s="412" t="s">
        <v>581</v>
      </c>
      <c r="EE80" s="412">
        <v>11592.5041</v>
      </c>
      <c r="EF80" s="412">
        <v>0.22500767466600097</v>
      </c>
      <c r="EG80" s="413">
        <v>859036</v>
      </c>
      <c r="EH80" s="414">
        <f t="shared" si="29"/>
        <v>197.82673285470159</v>
      </c>
      <c r="EI80" s="415">
        <f t="shared" si="30"/>
        <v>0.80122169834524415</v>
      </c>
      <c r="EJ80" s="402">
        <v>0</v>
      </c>
      <c r="EM80" s="278" t="s">
        <v>578</v>
      </c>
      <c r="EN80" s="278" t="s">
        <v>581</v>
      </c>
      <c r="EO80" s="278">
        <v>11592.5041</v>
      </c>
      <c r="EP80" s="278">
        <v>0.22500767466600097</v>
      </c>
      <c r="EQ80" s="289">
        <v>859036</v>
      </c>
      <c r="ER80" s="290">
        <f t="shared" si="31"/>
        <v>197.82673285470159</v>
      </c>
      <c r="ES80" s="291">
        <f t="shared" si="23"/>
        <v>0.80122169834524415</v>
      </c>
      <c r="ET80" s="402">
        <v>0</v>
      </c>
      <c r="EV80" s="34"/>
      <c r="EW80" s="34"/>
      <c r="EX80" s="34"/>
      <c r="EY80" s="34"/>
      <c r="EZ80" s="378"/>
      <c r="FA80" s="401"/>
      <c r="FB80" s="402"/>
      <c r="FC80" s="402"/>
    </row>
    <row r="81" spans="1:159" ht="17" customHeight="1">
      <c r="EC81" s="412" t="s">
        <v>24</v>
      </c>
      <c r="ED81" s="412" t="s">
        <v>582</v>
      </c>
      <c r="EE81" s="412">
        <v>11518.725399999999</v>
      </c>
      <c r="EF81" s="412">
        <v>0.5685947059337656</v>
      </c>
      <c r="EG81" s="413">
        <v>859037</v>
      </c>
      <c r="EH81" s="414">
        <f t="shared" si="29"/>
        <v>158.27048614455944</v>
      </c>
      <c r="EI81" s="415">
        <f t="shared" si="30"/>
        <v>0.64101421419020077</v>
      </c>
      <c r="EJ81" s="402">
        <v>0</v>
      </c>
      <c r="EM81" s="278" t="s">
        <v>24</v>
      </c>
      <c r="EN81" s="278" t="s">
        <v>582</v>
      </c>
      <c r="EO81" s="278">
        <v>11518.725399999999</v>
      </c>
      <c r="EP81" s="278">
        <v>0.5685947059337656</v>
      </c>
      <c r="EQ81" s="289">
        <v>859037</v>
      </c>
      <c r="ER81" s="290">
        <f t="shared" si="31"/>
        <v>158.27048614455944</v>
      </c>
      <c r="ES81" s="291">
        <f t="shared" si="23"/>
        <v>0.64101421419020077</v>
      </c>
      <c r="ET81" s="402">
        <v>0</v>
      </c>
      <c r="EV81" s="34"/>
      <c r="EW81" s="34"/>
      <c r="EX81" s="34"/>
      <c r="EY81" s="34"/>
      <c r="EZ81" s="378"/>
      <c r="FA81" s="401"/>
      <c r="FB81" s="402"/>
      <c r="FC81" s="402"/>
    </row>
    <row r="82" spans="1:159" ht="17" customHeight="1">
      <c r="EC82" s="412" t="s">
        <v>24</v>
      </c>
      <c r="ED82" s="412" t="s">
        <v>583</v>
      </c>
      <c r="EE82" s="412">
        <v>8739.51</v>
      </c>
      <c r="EF82" s="412">
        <v>0.43140529406623446</v>
      </c>
      <c r="EG82" s="413">
        <v>859038</v>
      </c>
      <c r="EH82" s="414">
        <f t="shared" si="29"/>
        <v>120.08329466428974</v>
      </c>
      <c r="EI82" s="415">
        <f t="shared" si="30"/>
        <v>0.48635156586486572</v>
      </c>
      <c r="EJ82" s="402">
        <v>0</v>
      </c>
      <c r="EM82" s="278" t="s">
        <v>24</v>
      </c>
      <c r="EN82" s="278" t="s">
        <v>583</v>
      </c>
      <c r="EO82" s="278">
        <v>8739.51</v>
      </c>
      <c r="EP82" s="278">
        <v>0.43140529406623446</v>
      </c>
      <c r="EQ82" s="289">
        <v>859038</v>
      </c>
      <c r="ER82" s="290">
        <f t="shared" si="31"/>
        <v>120.08329466428974</v>
      </c>
      <c r="ES82" s="291">
        <f t="shared" si="23"/>
        <v>0.48635156586486572</v>
      </c>
      <c r="ET82" s="402">
        <v>0</v>
      </c>
      <c r="EV82" s="34"/>
      <c r="EW82" s="34"/>
      <c r="EX82" s="34"/>
      <c r="EY82" s="34"/>
      <c r="EZ82" s="378"/>
      <c r="FA82" s="401"/>
      <c r="FB82" s="402"/>
      <c r="FC82" s="402"/>
    </row>
    <row r="83" spans="1:159" ht="17" customHeight="1">
      <c r="EC83" s="412" t="s">
        <v>481</v>
      </c>
      <c r="ED83" s="412" t="s">
        <v>584</v>
      </c>
      <c r="EE83" s="412">
        <v>2599.7966999999999</v>
      </c>
      <c r="EF83" s="412">
        <v>0.17076241811950377</v>
      </c>
      <c r="EG83" s="413">
        <v>859039</v>
      </c>
      <c r="EH83" s="414">
        <f t="shared" si="29"/>
        <v>14.987290062371342</v>
      </c>
      <c r="EI83" s="415">
        <f t="shared" si="30"/>
        <v>6.0700299823409735E-2</v>
      </c>
      <c r="EJ83" s="402">
        <v>0</v>
      </c>
      <c r="EM83" s="278" t="s">
        <v>481</v>
      </c>
      <c r="EN83" s="278" t="s">
        <v>584</v>
      </c>
      <c r="EO83" s="278">
        <v>2599.7966999999999</v>
      </c>
      <c r="EP83" s="278">
        <v>0.17076241811950377</v>
      </c>
      <c r="EQ83" s="289">
        <v>859039</v>
      </c>
      <c r="ER83" s="290">
        <f t="shared" si="31"/>
        <v>14.987290062371342</v>
      </c>
      <c r="ES83" s="291">
        <f t="shared" si="23"/>
        <v>6.0700299823409735E-2</v>
      </c>
      <c r="ET83" s="402">
        <v>0</v>
      </c>
      <c r="EV83" s="34"/>
      <c r="EW83" s="34"/>
      <c r="EX83" s="34"/>
      <c r="EY83" s="34"/>
      <c r="EZ83" s="378"/>
      <c r="FA83" s="401"/>
      <c r="FB83" s="402"/>
      <c r="FC83" s="402"/>
    </row>
    <row r="84" spans="1:159" ht="17" customHeight="1">
      <c r="EC84" s="412" t="s">
        <v>481</v>
      </c>
      <c r="ED84" s="412" t="s">
        <v>393</v>
      </c>
      <c r="EE84" s="412">
        <v>1032.4983</v>
      </c>
      <c r="EF84" s="412">
        <v>6.7817574509682552E-2</v>
      </c>
      <c r="EG84" s="413">
        <v>859040</v>
      </c>
      <c r="EH84" s="414">
        <f t="shared" si="29"/>
        <v>5.9521390695685179</v>
      </c>
      <c r="EI84" s="415">
        <f t="shared" si="30"/>
        <v>2.4106868193640239E-2</v>
      </c>
      <c r="EJ84" s="402">
        <v>0</v>
      </c>
      <c r="EM84" s="278" t="s">
        <v>481</v>
      </c>
      <c r="EN84" s="278" t="s">
        <v>393</v>
      </c>
      <c r="EO84" s="278">
        <v>1032.4983</v>
      </c>
      <c r="EP84" s="278">
        <v>6.7817574509682552E-2</v>
      </c>
      <c r="EQ84" s="289">
        <v>859040</v>
      </c>
      <c r="ER84" s="290">
        <f t="shared" si="31"/>
        <v>5.9521390695685179</v>
      </c>
      <c r="ES84" s="291">
        <f t="shared" si="23"/>
        <v>2.4106868193640239E-2</v>
      </c>
      <c r="ET84" s="402">
        <v>0</v>
      </c>
      <c r="EV84" s="34"/>
      <c r="EW84" s="34"/>
      <c r="EX84" s="34"/>
      <c r="EY84" s="34"/>
      <c r="EZ84" s="378"/>
      <c r="FA84" s="401"/>
      <c r="FB84" s="402"/>
      <c r="FC84" s="402"/>
    </row>
    <row r="85" spans="1:159" ht="17" customHeight="1">
      <c r="EC85" s="412" t="s">
        <v>481</v>
      </c>
      <c r="ED85" s="412" t="s">
        <v>130</v>
      </c>
      <c r="EE85" s="412">
        <v>1625.5998999999999</v>
      </c>
      <c r="EF85" s="412">
        <v>0.10677426039460067</v>
      </c>
      <c r="EG85" s="413">
        <v>859041</v>
      </c>
      <c r="EH85" s="414">
        <f t="shared" si="29"/>
        <v>9.3712470773817991</v>
      </c>
      <c r="EI85" s="415">
        <f t="shared" si="30"/>
        <v>3.7954660579000231E-2</v>
      </c>
      <c r="EJ85" s="402">
        <v>0</v>
      </c>
      <c r="EM85" s="278" t="s">
        <v>481</v>
      </c>
      <c r="EN85" s="278" t="s">
        <v>130</v>
      </c>
      <c r="EO85" s="278">
        <v>1625.5998999999999</v>
      </c>
      <c r="EP85" s="278">
        <v>0.10677426039460067</v>
      </c>
      <c r="EQ85" s="289">
        <v>859041</v>
      </c>
      <c r="ER85" s="290">
        <f t="shared" si="31"/>
        <v>9.3712470773817991</v>
      </c>
      <c r="ES85" s="291">
        <f t="shared" si="23"/>
        <v>3.7954660579000231E-2</v>
      </c>
      <c r="ET85" s="402">
        <v>0</v>
      </c>
      <c r="EV85" s="34"/>
      <c r="EW85" s="34"/>
      <c r="EX85" s="34"/>
      <c r="EY85" s="34"/>
      <c r="EZ85" s="378"/>
      <c r="FA85" s="401"/>
      <c r="FB85" s="402"/>
      <c r="FC85" s="402"/>
    </row>
    <row r="86" spans="1:159" ht="17" customHeight="1">
      <c r="EC86" s="412" t="s">
        <v>481</v>
      </c>
      <c r="ED86" s="412" t="s">
        <v>131</v>
      </c>
      <c r="EE86" s="412">
        <v>2880.0880999999999</v>
      </c>
      <c r="EF86" s="412">
        <v>0.18917279507017112</v>
      </c>
      <c r="EG86" s="413">
        <v>859042</v>
      </c>
      <c r="EH86" s="414">
        <f t="shared" si="29"/>
        <v>16.603111989442851</v>
      </c>
      <c r="EI86" s="415">
        <f t="shared" si="30"/>
        <v>6.7244570003429302E-2</v>
      </c>
      <c r="EJ86" s="402">
        <v>0</v>
      </c>
      <c r="EM86" s="278" t="s">
        <v>481</v>
      </c>
      <c r="EN86" s="278" t="s">
        <v>131</v>
      </c>
      <c r="EO86" s="278">
        <v>2880.0880999999999</v>
      </c>
      <c r="EP86" s="278">
        <v>0.18917279507017112</v>
      </c>
      <c r="EQ86" s="289">
        <v>859042</v>
      </c>
      <c r="ER86" s="290">
        <f t="shared" si="31"/>
        <v>16.603111989442851</v>
      </c>
      <c r="ES86" s="291">
        <f t="shared" si="23"/>
        <v>6.7244570003429302E-2</v>
      </c>
      <c r="ET86" s="402">
        <v>0</v>
      </c>
      <c r="EV86" s="34"/>
      <c r="EW86" s="34"/>
      <c r="EX86" s="34"/>
      <c r="EY86" s="34"/>
      <c r="EZ86" s="378"/>
      <c r="FA86" s="401"/>
      <c r="FB86" s="402"/>
      <c r="FC86" s="402"/>
    </row>
    <row r="87" spans="1:159" ht="17" customHeight="1">
      <c r="EC87" s="412" t="s">
        <v>481</v>
      </c>
      <c r="ED87" s="412" t="s">
        <v>132</v>
      </c>
      <c r="EE87" s="412">
        <v>687.99680000000001</v>
      </c>
      <c r="EF87" s="412">
        <v>4.5189686265268592E-2</v>
      </c>
      <c r="EG87" s="413">
        <v>859043</v>
      </c>
      <c r="EH87" s="414">
        <f t="shared" si="29"/>
        <v>3.9661592014418989</v>
      </c>
      <c r="EI87" s="415">
        <f t="shared" si="30"/>
        <v>1.6063414511429477E-2</v>
      </c>
      <c r="EJ87" s="402">
        <v>0</v>
      </c>
      <c r="EM87" s="278" t="s">
        <v>481</v>
      </c>
      <c r="EN87" s="278" t="s">
        <v>132</v>
      </c>
      <c r="EO87" s="278">
        <v>687.99680000000001</v>
      </c>
      <c r="EP87" s="278">
        <v>4.5189686265268592E-2</v>
      </c>
      <c r="EQ87" s="289">
        <v>859043</v>
      </c>
      <c r="ER87" s="290">
        <f t="shared" si="31"/>
        <v>3.9661592014418989</v>
      </c>
      <c r="ES87" s="291">
        <f t="shared" si="23"/>
        <v>1.6063414511429477E-2</v>
      </c>
      <c r="ET87" s="402">
        <v>0</v>
      </c>
      <c r="EV87" s="34"/>
      <c r="EW87" s="34"/>
      <c r="EX87" s="34"/>
      <c r="EY87" s="34"/>
      <c r="EZ87" s="378"/>
      <c r="FA87" s="401"/>
      <c r="FB87" s="402"/>
      <c r="FC87" s="402"/>
    </row>
    <row r="88" spans="1:159" ht="17" customHeight="1">
      <c r="EC88" s="412" t="s">
        <v>481</v>
      </c>
      <c r="ED88" s="412" t="s">
        <v>133</v>
      </c>
      <c r="EE88" s="412">
        <v>2308.0711000000001</v>
      </c>
      <c r="EF88" s="412">
        <v>0.15160100873569959</v>
      </c>
      <c r="EG88" s="413">
        <v>859044</v>
      </c>
      <c r="EH88" s="414">
        <f t="shared" si="29"/>
        <v>13.305552338102625</v>
      </c>
      <c r="EI88" s="415">
        <f t="shared" si="30"/>
        <v>5.3889062857779266E-2</v>
      </c>
      <c r="EJ88" s="402">
        <v>0</v>
      </c>
      <c r="EM88" s="278" t="s">
        <v>481</v>
      </c>
      <c r="EN88" s="278" t="s">
        <v>133</v>
      </c>
      <c r="EO88" s="278">
        <v>2308.0711000000001</v>
      </c>
      <c r="EP88" s="278">
        <v>0.15160100873569959</v>
      </c>
      <c r="EQ88" s="289">
        <v>859044</v>
      </c>
      <c r="ER88" s="290">
        <f t="shared" si="31"/>
        <v>13.305552338102625</v>
      </c>
      <c r="ES88" s="291">
        <f t="shared" si="23"/>
        <v>5.3889062857779266E-2</v>
      </c>
      <c r="ET88" s="402">
        <v>0</v>
      </c>
      <c r="EV88" s="34"/>
      <c r="EW88" s="34"/>
      <c r="EX88" s="34"/>
      <c r="EY88" s="34"/>
      <c r="EZ88" s="378"/>
      <c r="FA88" s="401"/>
      <c r="FB88" s="402"/>
      <c r="FC88" s="402"/>
    </row>
    <row r="89" spans="1:159" ht="17" customHeight="1">
      <c r="EC89" s="412" t="s">
        <v>481</v>
      </c>
      <c r="ED89" s="412" t="s">
        <v>134</v>
      </c>
      <c r="EE89" s="412">
        <v>4090.5911999999998</v>
      </c>
      <c r="EF89" s="412">
        <v>0.26868225690507364</v>
      </c>
      <c r="EG89" s="413">
        <v>859045</v>
      </c>
      <c r="EH89" s="414">
        <f t="shared" si="29"/>
        <v>23.581411900778114</v>
      </c>
      <c r="EI89" s="415">
        <f t="shared" si="30"/>
        <v>9.5507511143083382E-2</v>
      </c>
      <c r="EJ89" s="402">
        <v>0</v>
      </c>
      <c r="EM89" s="278" t="s">
        <v>481</v>
      </c>
      <c r="EN89" s="278" t="s">
        <v>134</v>
      </c>
      <c r="EO89" s="278">
        <v>4090.5911999999998</v>
      </c>
      <c r="EP89" s="278">
        <v>0.26868225690507364</v>
      </c>
      <c r="EQ89" s="289">
        <v>859045</v>
      </c>
      <c r="ER89" s="290">
        <f t="shared" si="31"/>
        <v>23.581411900778114</v>
      </c>
      <c r="ES89" s="291">
        <f t="shared" si="23"/>
        <v>9.5507511143083382E-2</v>
      </c>
      <c r="ET89" s="402">
        <v>0</v>
      </c>
      <c r="EV89" s="34"/>
      <c r="EW89" s="34"/>
      <c r="EX89" s="34"/>
      <c r="EY89" s="34"/>
      <c r="EZ89" s="378"/>
      <c r="FA89" s="401"/>
      <c r="FB89" s="402"/>
      <c r="FC89" s="402"/>
    </row>
    <row r="90" spans="1:159" ht="17" customHeight="1">
      <c r="EH90" s="230">
        <f>SUM(EH45:EH89)</f>
        <v>10473.85830409246</v>
      </c>
      <c r="EI90" s="230">
        <f>SUM(EI45:EI89)</f>
        <v>42.42036663869898</v>
      </c>
      <c r="EJ90">
        <f>SUM(EJ45:EJ89)</f>
        <v>1864.3334243417717</v>
      </c>
      <c r="ER90" s="230">
        <f>SUM(ER45:ER89)</f>
        <v>10473.85830409246</v>
      </c>
      <c r="ES90" s="230">
        <f>SUM(ES45:ES89)</f>
        <v>42.42036663869898</v>
      </c>
      <c r="ET90" s="230">
        <f>SUM(ET45:ET89)</f>
        <v>1864.3334243417717</v>
      </c>
      <c r="FA90" s="230"/>
    </row>
    <row r="91" spans="1:159" s="227" customFormat="1" ht="25.5">
      <c r="A91" s="285">
        <v>2025</v>
      </c>
      <c r="EH91" s="227">
        <f t="shared" ref="EH91:EI91" si="36">EH90</f>
        <v>10473.85830409246</v>
      </c>
      <c r="EI91" s="227">
        <f t="shared" si="36"/>
        <v>42.42036663869898</v>
      </c>
      <c r="EJ91" s="227">
        <f>EJ90</f>
        <v>1864.3334243417717</v>
      </c>
      <c r="ER91" s="230"/>
      <c r="ES91" s="230"/>
    </row>
    <row r="92" spans="1:159" ht="25.5" customHeight="1" thickBot="1">
      <c r="A92" s="32" t="s">
        <v>469</v>
      </c>
      <c r="C92" t="s">
        <v>463</v>
      </c>
      <c r="D92" t="s">
        <v>467</v>
      </c>
      <c r="E92" t="s">
        <v>464</v>
      </c>
      <c r="F92" t="s">
        <v>465</v>
      </c>
      <c r="G92" t="s">
        <v>466</v>
      </c>
      <c r="H92" t="s">
        <v>21</v>
      </c>
      <c r="K92" s="32" t="s">
        <v>471</v>
      </c>
      <c r="CV92" s="32" t="s">
        <v>492</v>
      </c>
      <c r="CY92" t="s">
        <v>478</v>
      </c>
      <c r="CZ92" t="s">
        <v>479</v>
      </c>
      <c r="EC92" s="353" t="s">
        <v>858</v>
      </c>
      <c r="EI92" t="s">
        <v>599</v>
      </c>
      <c r="ES92" t="s">
        <v>600</v>
      </c>
      <c r="EV92" s="353"/>
    </row>
    <row r="93" spans="1:159" ht="25.5" customHeight="1">
      <c r="A93" t="s">
        <v>462</v>
      </c>
      <c r="C93" t="s">
        <v>427</v>
      </c>
      <c r="D93" t="s">
        <v>428</v>
      </c>
      <c r="E93" t="s">
        <v>429</v>
      </c>
      <c r="F93" t="s">
        <v>430</v>
      </c>
      <c r="G93" t="s">
        <v>431</v>
      </c>
      <c r="H93" t="s">
        <v>457</v>
      </c>
      <c r="K93" s="159" t="s">
        <v>482</v>
      </c>
      <c r="L93" s="159"/>
      <c r="M93" s="538" t="s">
        <v>463</v>
      </c>
      <c r="N93" s="539"/>
      <c r="O93" s="539"/>
      <c r="P93" s="539"/>
      <c r="Q93" s="539"/>
      <c r="R93" s="539"/>
      <c r="S93" s="539"/>
      <c r="T93" s="539"/>
      <c r="U93" s="539"/>
      <c r="V93" s="539"/>
      <c r="W93" s="539"/>
      <c r="X93" s="539"/>
      <c r="Y93" s="539"/>
      <c r="Z93" s="540"/>
      <c r="AA93" s="538" t="s">
        <v>467</v>
      </c>
      <c r="AB93" s="539"/>
      <c r="AC93" s="539"/>
      <c r="AD93" s="539"/>
      <c r="AE93" s="539"/>
      <c r="AF93" s="539"/>
      <c r="AG93" s="539"/>
      <c r="AH93" s="539"/>
      <c r="AI93" s="539"/>
      <c r="AJ93" s="539"/>
      <c r="AK93" s="539"/>
      <c r="AL93" s="539"/>
      <c r="AM93" s="539"/>
      <c r="AN93" s="540"/>
      <c r="AO93" s="538" t="s">
        <v>464</v>
      </c>
      <c r="AP93" s="539"/>
      <c r="AQ93" s="539"/>
      <c r="AR93" s="539"/>
      <c r="AS93" s="539"/>
      <c r="AT93" s="539"/>
      <c r="AU93" s="539"/>
      <c r="AV93" s="539"/>
      <c r="AW93" s="539"/>
      <c r="AX93" s="539"/>
      <c r="AY93" s="539"/>
      <c r="AZ93" s="539"/>
      <c r="BA93" s="539"/>
      <c r="BB93" s="540"/>
      <c r="BC93" s="538" t="s">
        <v>465</v>
      </c>
      <c r="BD93" s="539"/>
      <c r="BE93" s="539"/>
      <c r="BF93" s="539"/>
      <c r="BG93" s="539"/>
      <c r="BH93" s="539"/>
      <c r="BI93" s="539"/>
      <c r="BJ93" s="539"/>
      <c r="BK93" s="539"/>
      <c r="BL93" s="539"/>
      <c r="BM93" s="539"/>
      <c r="BN93" s="539"/>
      <c r="BO93" s="539"/>
      <c r="BP93" s="540"/>
      <c r="BQ93" s="538" t="s">
        <v>466</v>
      </c>
      <c r="BR93" s="539"/>
      <c r="BS93" s="539"/>
      <c r="BT93" s="539"/>
      <c r="BU93" s="539"/>
      <c r="BV93" s="539"/>
      <c r="BW93" s="539"/>
      <c r="BX93" s="539"/>
      <c r="BY93" s="539"/>
      <c r="BZ93" s="539"/>
      <c r="CA93" s="539"/>
      <c r="CB93" s="539"/>
      <c r="CC93" s="539"/>
      <c r="CD93" s="540"/>
      <c r="CE93" s="538" t="s">
        <v>21</v>
      </c>
      <c r="CF93" s="539"/>
      <c r="CG93" s="539"/>
      <c r="CH93" s="539"/>
      <c r="CI93" s="539"/>
      <c r="CJ93" s="539"/>
      <c r="CK93" s="539"/>
      <c r="CL93" s="539"/>
      <c r="CM93" s="539"/>
      <c r="CN93" s="539"/>
      <c r="CO93" s="539"/>
      <c r="CP93" s="539"/>
      <c r="CQ93" s="539"/>
      <c r="CR93" s="540"/>
      <c r="CV93" s="263" t="s">
        <v>482</v>
      </c>
      <c r="CW93" s="263"/>
      <c r="CX93" s="541" t="s">
        <v>554</v>
      </c>
      <c r="CY93" s="541"/>
      <c r="CZ93" s="541"/>
      <c r="DA93" s="541"/>
      <c r="DB93" s="542" t="s">
        <v>553</v>
      </c>
      <c r="DC93" s="541"/>
      <c r="DD93" s="541"/>
      <c r="DE93" s="541"/>
      <c r="DF93" s="542" t="s">
        <v>464</v>
      </c>
      <c r="DG93" s="541"/>
      <c r="DH93" s="541"/>
      <c r="DI93" s="541"/>
      <c r="DJ93" s="542" t="s">
        <v>465</v>
      </c>
      <c r="DK93" s="541"/>
      <c r="DL93" s="541"/>
      <c r="DM93" s="541"/>
      <c r="DN93" s="542" t="s">
        <v>466</v>
      </c>
      <c r="DO93" s="541"/>
      <c r="DP93" s="541"/>
      <c r="DQ93" s="541"/>
      <c r="DR93" s="542" t="s">
        <v>21</v>
      </c>
      <c r="DS93" s="541"/>
      <c r="DT93" s="541"/>
      <c r="DU93" s="541"/>
      <c r="DW93" s="278"/>
      <c r="DX93" s="278"/>
      <c r="DY93" s="442" t="s">
        <v>588</v>
      </c>
      <c r="DZ93" s="442"/>
      <c r="EC93" s="412" t="s">
        <v>564</v>
      </c>
      <c r="ED93" s="412" t="s">
        <v>565</v>
      </c>
      <c r="EE93" s="412" t="s">
        <v>566</v>
      </c>
      <c r="EF93" s="412" t="s">
        <v>562</v>
      </c>
      <c r="EG93" s="417" t="s">
        <v>597</v>
      </c>
      <c r="EH93" s="418" t="s">
        <v>585</v>
      </c>
      <c r="EI93" s="419" t="s">
        <v>536</v>
      </c>
      <c r="EJ93" s="377" t="s">
        <v>856</v>
      </c>
      <c r="EM93" s="278" t="s">
        <v>564</v>
      </c>
      <c r="EN93" s="278" t="s">
        <v>565</v>
      </c>
      <c r="EO93" s="278" t="s">
        <v>566</v>
      </c>
      <c r="EP93" s="278" t="s">
        <v>562</v>
      </c>
      <c r="EQ93" s="286" t="s">
        <v>598</v>
      </c>
      <c r="ER93" s="287" t="s">
        <v>820</v>
      </c>
      <c r="ES93" s="288" t="s">
        <v>536</v>
      </c>
      <c r="ET93" s="377" t="s">
        <v>821</v>
      </c>
      <c r="EV93" s="34"/>
      <c r="EW93" s="34"/>
      <c r="EX93" s="34"/>
      <c r="EY93" s="34"/>
      <c r="EZ93" s="375"/>
      <c r="FA93" s="376"/>
      <c r="FB93" s="377"/>
      <c r="FC93" s="377"/>
    </row>
    <row r="94" spans="1:159">
      <c r="A94" s="199"/>
      <c r="B94" s="199"/>
      <c r="C94" s="202" t="s">
        <v>463</v>
      </c>
      <c r="D94" s="202" t="s">
        <v>467</v>
      </c>
      <c r="E94" s="202" t="s">
        <v>464</v>
      </c>
      <c r="F94" s="202" t="s">
        <v>465</v>
      </c>
      <c r="G94" s="202" t="s">
        <v>466</v>
      </c>
      <c r="H94" s="202" t="s">
        <v>21</v>
      </c>
      <c r="K94" s="159"/>
      <c r="L94" s="159"/>
      <c r="M94" s="211" t="s">
        <v>472</v>
      </c>
      <c r="N94" s="160" t="s">
        <v>156</v>
      </c>
      <c r="O94" s="160" t="s">
        <v>475</v>
      </c>
      <c r="P94" s="160" t="s">
        <v>476</v>
      </c>
      <c r="Q94" s="160" t="s">
        <v>477</v>
      </c>
      <c r="R94" s="160" t="s">
        <v>478</v>
      </c>
      <c r="S94" s="160" t="s">
        <v>479</v>
      </c>
      <c r="T94" s="160" t="s">
        <v>480</v>
      </c>
      <c r="U94" s="160" t="s">
        <v>449</v>
      </c>
      <c r="V94" s="160" t="s">
        <v>157</v>
      </c>
      <c r="W94" s="160" t="s">
        <v>473</v>
      </c>
      <c r="X94" s="160" t="s">
        <v>474</v>
      </c>
      <c r="Y94" s="160" t="s">
        <v>46</v>
      </c>
      <c r="Z94" s="212" t="s">
        <v>11</v>
      </c>
      <c r="AA94" s="211" t="s">
        <v>472</v>
      </c>
      <c r="AB94" s="160" t="s">
        <v>156</v>
      </c>
      <c r="AC94" s="160" t="s">
        <v>475</v>
      </c>
      <c r="AD94" s="160" t="s">
        <v>476</v>
      </c>
      <c r="AE94" s="160" t="s">
        <v>477</v>
      </c>
      <c r="AF94" s="160" t="s">
        <v>478</v>
      </c>
      <c r="AG94" s="160" t="s">
        <v>479</v>
      </c>
      <c r="AH94" s="160" t="s">
        <v>480</v>
      </c>
      <c r="AI94" s="160" t="s">
        <v>449</v>
      </c>
      <c r="AJ94" s="160" t="s">
        <v>157</v>
      </c>
      <c r="AK94" s="160" t="s">
        <v>473</v>
      </c>
      <c r="AL94" s="160" t="s">
        <v>474</v>
      </c>
      <c r="AM94" s="160" t="s">
        <v>46</v>
      </c>
      <c r="AN94" s="212" t="s">
        <v>11</v>
      </c>
      <c r="AO94" s="211" t="s">
        <v>472</v>
      </c>
      <c r="AP94" s="160" t="s">
        <v>156</v>
      </c>
      <c r="AQ94" s="160" t="s">
        <v>475</v>
      </c>
      <c r="AR94" s="160" t="s">
        <v>476</v>
      </c>
      <c r="AS94" s="160" t="s">
        <v>477</v>
      </c>
      <c r="AT94" s="160" t="s">
        <v>478</v>
      </c>
      <c r="AU94" s="160" t="s">
        <v>479</v>
      </c>
      <c r="AV94" s="160" t="s">
        <v>480</v>
      </c>
      <c r="AW94" s="160" t="s">
        <v>449</v>
      </c>
      <c r="AX94" s="160" t="s">
        <v>157</v>
      </c>
      <c r="AY94" s="160" t="s">
        <v>473</v>
      </c>
      <c r="AZ94" s="160" t="s">
        <v>474</v>
      </c>
      <c r="BA94" s="160" t="s">
        <v>46</v>
      </c>
      <c r="BB94" s="212" t="s">
        <v>11</v>
      </c>
      <c r="BC94" s="211" t="s">
        <v>472</v>
      </c>
      <c r="BD94" s="160" t="s">
        <v>156</v>
      </c>
      <c r="BE94" s="160" t="s">
        <v>475</v>
      </c>
      <c r="BF94" s="160" t="s">
        <v>476</v>
      </c>
      <c r="BG94" s="160" t="s">
        <v>477</v>
      </c>
      <c r="BH94" s="160" t="s">
        <v>478</v>
      </c>
      <c r="BI94" s="160" t="s">
        <v>479</v>
      </c>
      <c r="BJ94" s="160" t="s">
        <v>480</v>
      </c>
      <c r="BK94" s="160" t="s">
        <v>449</v>
      </c>
      <c r="BL94" s="160" t="s">
        <v>157</v>
      </c>
      <c r="BM94" s="160" t="s">
        <v>473</v>
      </c>
      <c r="BN94" s="160" t="s">
        <v>474</v>
      </c>
      <c r="BO94" s="160" t="s">
        <v>46</v>
      </c>
      <c r="BP94" s="212" t="s">
        <v>11</v>
      </c>
      <c r="BQ94" s="211" t="s">
        <v>472</v>
      </c>
      <c r="BR94" s="160" t="s">
        <v>156</v>
      </c>
      <c r="BS94" s="160" t="s">
        <v>475</v>
      </c>
      <c r="BT94" s="160" t="s">
        <v>476</v>
      </c>
      <c r="BU94" s="160" t="s">
        <v>477</v>
      </c>
      <c r="BV94" s="160" t="s">
        <v>478</v>
      </c>
      <c r="BW94" s="160" t="s">
        <v>479</v>
      </c>
      <c r="BX94" s="160" t="s">
        <v>480</v>
      </c>
      <c r="BY94" s="160" t="s">
        <v>449</v>
      </c>
      <c r="BZ94" s="160" t="s">
        <v>157</v>
      </c>
      <c r="CA94" s="160" t="s">
        <v>473</v>
      </c>
      <c r="CB94" s="160" t="s">
        <v>474</v>
      </c>
      <c r="CC94" s="160" t="s">
        <v>46</v>
      </c>
      <c r="CD94" s="212" t="s">
        <v>11</v>
      </c>
      <c r="CE94" s="211" t="s">
        <v>472</v>
      </c>
      <c r="CF94" s="160" t="s">
        <v>156</v>
      </c>
      <c r="CG94" s="160" t="s">
        <v>475</v>
      </c>
      <c r="CH94" s="160" t="s">
        <v>476</v>
      </c>
      <c r="CI94" s="160" t="s">
        <v>477</v>
      </c>
      <c r="CJ94" s="160" t="s">
        <v>478</v>
      </c>
      <c r="CK94" s="160" t="s">
        <v>479</v>
      </c>
      <c r="CL94" s="160" t="s">
        <v>480</v>
      </c>
      <c r="CM94" s="160" t="s">
        <v>449</v>
      </c>
      <c r="CN94" s="160" t="s">
        <v>157</v>
      </c>
      <c r="CO94" s="160" t="s">
        <v>473</v>
      </c>
      <c r="CP94" s="160" t="s">
        <v>474</v>
      </c>
      <c r="CQ94" s="160" t="s">
        <v>46</v>
      </c>
      <c r="CR94" s="212" t="s">
        <v>11</v>
      </c>
      <c r="CV94" s="263"/>
      <c r="CW94" s="263"/>
      <c r="CX94" s="264" t="s">
        <v>156</v>
      </c>
      <c r="CY94" s="264" t="s">
        <v>478</v>
      </c>
      <c r="CZ94" s="264" t="s">
        <v>479</v>
      </c>
      <c r="DA94" s="264" t="s">
        <v>157</v>
      </c>
      <c r="DB94" s="264" t="s">
        <v>156</v>
      </c>
      <c r="DC94" s="264" t="s">
        <v>478</v>
      </c>
      <c r="DD94" s="264" t="s">
        <v>479</v>
      </c>
      <c r="DE94" s="264" t="s">
        <v>157</v>
      </c>
      <c r="DF94" s="264" t="s">
        <v>156</v>
      </c>
      <c r="DG94" s="264" t="s">
        <v>478</v>
      </c>
      <c r="DH94" s="264" t="s">
        <v>479</v>
      </c>
      <c r="DI94" s="264" t="s">
        <v>157</v>
      </c>
      <c r="DJ94" s="264" t="s">
        <v>156</v>
      </c>
      <c r="DK94" s="264" t="s">
        <v>478</v>
      </c>
      <c r="DL94" s="264" t="s">
        <v>479</v>
      </c>
      <c r="DM94" s="264" t="s">
        <v>157</v>
      </c>
      <c r="DN94" s="264" t="s">
        <v>156</v>
      </c>
      <c r="DO94" s="264" t="s">
        <v>478</v>
      </c>
      <c r="DP94" s="264" t="s">
        <v>479</v>
      </c>
      <c r="DQ94" s="264" t="s">
        <v>157</v>
      </c>
      <c r="DR94" s="264" t="s">
        <v>156</v>
      </c>
      <c r="DS94" s="264" t="s">
        <v>478</v>
      </c>
      <c r="DT94" s="264" t="s">
        <v>479</v>
      </c>
      <c r="DU94" s="264" t="s">
        <v>157</v>
      </c>
      <c r="DW94" s="278"/>
      <c r="DX94" s="278"/>
      <c r="DY94" s="280" t="s">
        <v>586</v>
      </c>
      <c r="DZ94" s="280" t="s">
        <v>587</v>
      </c>
      <c r="EC94" s="412" t="s">
        <v>12</v>
      </c>
      <c r="ED94" s="412" t="s">
        <v>567</v>
      </c>
      <c r="EE94" s="412">
        <v>11477.778199999999</v>
      </c>
      <c r="EF94" s="412">
        <v>1</v>
      </c>
      <c r="EG94" s="413">
        <v>859001</v>
      </c>
      <c r="EH94" s="414">
        <f>VLOOKUP($EM94,$DX$94:$DZ$103,2,FALSE)*$EF94*$BB$11*(1-$BD$7)</f>
        <v>44.023466797822692</v>
      </c>
      <c r="EI94" s="415">
        <f>VLOOKUP($EM94,$DX$94:$DZ$103,3,FALSE)*$EF94*$BB$11*(1-$BD$7)</f>
        <v>0.17510227994408051</v>
      </c>
      <c r="EJ94" s="402">
        <v>0</v>
      </c>
      <c r="EM94" s="278" t="s">
        <v>12</v>
      </c>
      <c r="EN94" s="278" t="s">
        <v>567</v>
      </c>
      <c r="EO94" s="278">
        <v>11477.778199999999</v>
      </c>
      <c r="EP94" s="278">
        <v>1</v>
      </c>
      <c r="EQ94" s="289">
        <v>859001</v>
      </c>
      <c r="ER94" s="290">
        <f t="shared" ref="ER94:ER138" si="37">EH94*$EA$38</f>
        <v>44.023466797822692</v>
      </c>
      <c r="ES94" s="291">
        <f t="shared" ref="ES94:ES138" si="38">EI94*$EA$38</f>
        <v>0.17510227994408051</v>
      </c>
      <c r="ET94" s="402">
        <v>0</v>
      </c>
      <c r="EV94" s="34"/>
      <c r="EW94" s="34"/>
      <c r="EX94" s="34"/>
      <c r="EY94" s="34"/>
      <c r="EZ94" s="378"/>
      <c r="FA94" s="401"/>
      <c r="FB94" s="402"/>
      <c r="FC94" s="402"/>
    </row>
    <row r="95" spans="1:159">
      <c r="A95" s="205"/>
      <c r="B95" s="205" t="s">
        <v>12</v>
      </c>
      <c r="C95" s="400">
        <f>'A.일산테크노밸리(859991)_수정'!$P28*KTDB_TripDistribution_2045!T$12 * (1+KTDB_발생량도착량_증가율!$D$8 *5) * (1+KTDB_발생량도착량_증가율!$E$8 *5) * (1+KTDB_발생량도착량_증가율!$F$8 *5) * (1+KTDB_발생량도착량_증가율!$G$8 *5)</f>
        <v>17.758575771822795</v>
      </c>
      <c r="D95" s="400">
        <f>'A.일산테크노밸리(859991)_수정'!$P28*KTDB_TripDistribution_2045!U$12 * (1+KTDB_발생량도착량_증가율!$D$8 *5) * (1+KTDB_발생량도착량_증가율!$E$8 *5) * (1+KTDB_발생량도착량_증가율!$F$8 *5) * (1+KTDB_발생량도착량_증가율!$G$8 *5)</f>
        <v>128.52244594034127</v>
      </c>
      <c r="E95" s="400">
        <f>'A.일산테크노밸리(859991)_수정'!$P28*KTDB_TripDistribution_2045!V$12 * (1+KTDB_발생량도착량_증가율!$D$8 *5) * (1+KTDB_발생량도착량_증가율!$E$8 *5) * (1+KTDB_발생량도착량_증가율!$F$8 *5) * (1+KTDB_발생량도착량_증가율!$G$8 *5)</f>
        <v>7.3730146038298541</v>
      </c>
      <c r="F95" s="400">
        <f>'A.일산테크노밸리(859991)_수정'!$P28*KTDB_TripDistribution_2045!W$12 * (1+KTDB_발생량도착량_증가율!$D$8 *5) * (1+KTDB_발생량도착량_증가율!$E$8 *5) * (1+KTDB_발생량도착량_증가율!$F$8 *5) * (1+KTDB_발생량도착량_증가율!$G$8 *5)</f>
        <v>1.1586717554473337E-2</v>
      </c>
      <c r="G95" s="400">
        <f>'A.일산테크노밸리(859991)_수정'!$P28*KTDB_TripDistribution_2045!X$12 * (1+KTDB_발생량도착량_증가율!$D$8 *5) * (1+KTDB_발생량도착량_증가율!$E$8 *5) * (1+KTDB_발생량도착량_증가율!$F$8 *5) * (1+KTDB_발생량도착량_증가율!$G$8 *5)</f>
        <v>4.3772044094677026E-2</v>
      </c>
      <c r="H95" s="400">
        <f>'A.일산테크노밸리(859991)_수정'!$P28*KTDB_TripDistribution_2045!Y$12 * (1+KTDB_발생량도착량_증가율!$D$8 *5) * (1+KTDB_발생량도착량_증가율!$E$8 *5) * (1+KTDB_발생량도착량_증가율!$F$8 *5) * (1+KTDB_발생량도착량_증가율!$G$8 *5)</f>
        <v>153.70939507764302</v>
      </c>
      <c r="J95" s="230">
        <f>CR95</f>
        <v>153.70939507764308</v>
      </c>
      <c r="K95" s="206"/>
      <c r="L95" s="209" t="s">
        <v>12</v>
      </c>
      <c r="M95" s="213">
        <f>INDEX($A$94:$H$106,MATCH($L95,$B$94:$B$106,0),MATCH($M$93,$A$94:$H$94,0))*고양시_Modal_split!C$3 * 0.01</f>
        <v>4.9724012161103816E-2</v>
      </c>
      <c r="N95" s="213">
        <f>INDEX($A$94:$H$106,MATCH($L95,$B$94:$B$106,0),MATCH($M$93,$A$94:$H$94,0))*고양시_Modal_split!D$3 * 0.01</f>
        <v>8.3518581854882612</v>
      </c>
      <c r="O95" s="213">
        <f>INDEX($A$94:$H$106,MATCH($L95,$B$94:$B$106,0),MATCH($M$93,$A$94:$H$94,0))*고양시_Modal_split!E$3 * 0.01</f>
        <v>1.0104629614167169</v>
      </c>
      <c r="P95" s="213">
        <f>INDEX($A$94:$H$106,MATCH($L95,$B$94:$B$106,0),MATCH($M$93,$A$94:$H$94,0))*고양시_Modal_split!F$3 * 0.01</f>
        <v>1.6284613982761502</v>
      </c>
      <c r="Q95" s="213">
        <f>INDEX($A$94:$H$106,MATCH($L95,$B$94:$B$106,0),MATCH($M$93,$A$94:$H$94,0))*고양시_Modal_split!G$3 * 0.01</f>
        <v>0.16337889710076969</v>
      </c>
      <c r="R95" s="213">
        <f>INDEX($A$94:$H$106,MATCH($L95,$B$94:$B$106,0),MATCH($M$93,$A$94:$H$94,0))*고양시_Modal_split!H$3 * 0.01</f>
        <v>1.7758575771822797E-3</v>
      </c>
      <c r="S95" s="213">
        <f>INDEX($A$94:$H$106,MATCH($L95,$B$94:$B$106,0),MATCH($M$93,$A$94:$H$94,0))*고양시_Modal_split!I$3 * 0.01</f>
        <v>0.49368840645667372</v>
      </c>
      <c r="T95" s="213">
        <f>INDEX($A$94:$H$106,MATCH($L95,$B$94:$B$106,0),MATCH($M$93,$A$94:$H$94,0))*고양시_Modal_split!J$3 * 0.01</f>
        <v>5.4057104649428585</v>
      </c>
      <c r="U95" s="213">
        <f>INDEX($A$94:$H$106,MATCH($L95,$B$94:$B$106,0),MATCH($M$93,$A$94:$H$94,0))*고양시_Modal_split!K$3 * 0.01</f>
        <v>2.6637863657734191E-2</v>
      </c>
      <c r="V95" s="213">
        <f>INDEX($A$94:$H$106,MATCH($L95,$B$94:$B$106,0),MATCH($M$93,$A$94:$H$94,0))*고양시_Modal_split!L$3 * 0.01</f>
        <v>0.53630898830904838</v>
      </c>
      <c r="W95" s="213">
        <f>INDEX($A$94:$H$106,MATCH($L95,$B$94:$B$106,0),MATCH($M$93,$A$94:$H$94,0))*고양시_Modal_split!M$3 * 0.01</f>
        <v>4.0844724275192423E-2</v>
      </c>
      <c r="X95" s="213">
        <f>INDEX($A$94:$H$106,MATCH($L95,$B$94:$B$106,0),MATCH($M$93,$A$94:$H$94,0))*고양시_Modal_split!N$3 * 0.01</f>
        <v>1.7758575771822795E-2</v>
      </c>
      <c r="Y95" s="213">
        <f>INDEX($A$94:$H$106,MATCH($L95,$B$94:$B$106,0),MATCH($M$93,$A$94:$H$94,0))*고양시_Modal_split!O$3 * 0.01</f>
        <v>3.1965436389281031E-2</v>
      </c>
      <c r="Z95" s="213">
        <f>INDEX($A$94:$H$106,MATCH($L95,$B$94:$B$106,0),MATCH($M$93,$A$94:$H$94,0))*고양시_Modal_split!P$3 * 0.01</f>
        <v>17.758575771822795</v>
      </c>
      <c r="AA95" s="213">
        <f>INDEX($A$94:$H$106,MATCH($L95,$B$94:$B$106,0),MATCH($AA$93,$A$94:$H$94,0))*고양시_Modal_split!C$4 * 0.01</f>
        <v>39.122232544239885</v>
      </c>
      <c r="AB95" s="213">
        <f>INDEX($A$94:$H$106,MATCH($L95,$B$94:$B$106,0),MATCH($AA$93,$A$94:$H$94,0))*고양시_Modal_split!D$4 * 0.01</f>
        <v>41.217148413067441</v>
      </c>
      <c r="AC95" s="213">
        <f>INDEX($A$94:$H$106,MATCH($L95,$B$94:$B$106,0),MATCH($AA$93,$A$94:$H$94,0))*고양시_Modal_split!E$4 * 0.01</f>
        <v>9.9861940495645172</v>
      </c>
      <c r="AD95" s="213">
        <f>INDEX($A$94:$H$106,MATCH($L95,$B$94:$B$106,0),MATCH($AA$93,$A$94:$H$94,0))*고양시_Modal_split!F$4 * 0.01</f>
        <v>1.2209632364332419</v>
      </c>
      <c r="AE95" s="213">
        <f>INDEX($A$94:$H$106,MATCH($L95,$B$94:$B$106,0),MATCH($AA$93,$A$94:$H$94,0))*고양시_Modal_split!G$4 * 0.01</f>
        <v>15.049978419613963</v>
      </c>
      <c r="AF95" s="213">
        <f>INDEX($A$94:$H$106,MATCH($L95,$B$94:$B$106,0),MATCH($AA$93,$A$94:$H$94,0))*고양시_Modal_split!H$4 * 0.01</f>
        <v>0</v>
      </c>
      <c r="AG95" s="213">
        <f>INDEX($A$94:$H$106,MATCH($L95,$B$94:$B$106,0),MATCH($AA$93,$A$94:$H$94,0))*고양시_Modal_split!I$4 * 0.01</f>
        <v>4.472581118723876</v>
      </c>
      <c r="AH95" s="213">
        <f>INDEX($A$94:$H$106,MATCH($L95,$B$94:$B$106,0),MATCH($AA$93,$A$94:$H$94,0))*고양시_Modal_split!J$4 * 0.01</f>
        <v>6.0534072037900737</v>
      </c>
      <c r="AI95" s="213">
        <f>INDEX($A$94:$H$106,MATCH($L95,$B$94:$B$106,0),MATCH($AA$93,$A$94:$H$94,0))*고양시_Modal_split!K$4 * 0.01</f>
        <v>0</v>
      </c>
      <c r="AJ95" s="213">
        <f>INDEX($A$94:$H$106,MATCH($L95,$B$94:$B$106,0),MATCH($AA$93,$A$94:$H$94,0))*고양시_Modal_split!L$4 * 0.01</f>
        <v>5.9377370024437663</v>
      </c>
      <c r="AK95" s="213">
        <f>INDEX($A$94:$H$106,MATCH($L95,$B$94:$B$106,0),MATCH($AA$93,$A$94:$H$94,0))*고양시_Modal_split!M$4 * 0.01</f>
        <v>0.86110038780028664</v>
      </c>
      <c r="AL95" s="213">
        <f>INDEX($A$94:$H$106,MATCH($L95,$B$94:$B$106,0),MATCH($AA$93,$A$94:$H$94,0))*고양시_Modal_split!N$4 * 0.01</f>
        <v>3.2130611485085319</v>
      </c>
      <c r="AM95" s="213">
        <f>INDEX($A$94:$H$106,MATCH($L95,$B$94:$B$106,0),MATCH($AA$93,$A$94:$H$94,0))*고양시_Modal_split!O$4 * 0.01</f>
        <v>1.3880424161556857</v>
      </c>
      <c r="AN95" s="213">
        <f>INDEX($A$94:$H$106,MATCH($L95,$B$94:$B$106,0),MATCH($AA$93,$A$94:$H$94,0))*고양시_Modal_split!P$4 * 0.01</f>
        <v>128.52244594034127</v>
      </c>
      <c r="AO95" s="213">
        <f>INDEX($A$94:$H$106,MATCH($L95,$B$94:$B$106,0),MATCH($AO$93,$A$94:$H$94,0))*고양시_Modal_split!C$5 * 0.01</f>
        <v>4.4238087622979127E-3</v>
      </c>
      <c r="AP95" s="213">
        <f>INDEX($A$94:$H$106,MATCH($L95,$B$94:$B$106,0),MATCH($AO$93,$A$94:$H$94,0))*고양시_Modal_split!D$5 * 0.01</f>
        <v>5.4029451016865178</v>
      </c>
      <c r="AQ95" s="213">
        <f>INDEX($A$94:$H$106,MATCH($L95,$B$94:$B$106,0),MATCH($AO$93,$A$94:$H$94,0))*고양시_Modal_split!E$5 * 0.01</f>
        <v>0.72624193847724061</v>
      </c>
      <c r="AR95" s="213">
        <f>INDEX($A$94:$H$106,MATCH($L95,$B$94:$B$106,0),MATCH($AO$93,$A$94:$H$94,0))*고양시_Modal_split!F$5 * 0.01</f>
        <v>0.15483330668042694</v>
      </c>
      <c r="AS95" s="213">
        <f>INDEX($A$94:$H$106,MATCH($L95,$B$94:$B$106,0),MATCH($AO$93,$A$94:$H$94,0))*고양시_Modal_split!G$5 * 0.01</f>
        <v>4.7924594924894058E-2</v>
      </c>
      <c r="AT95" s="213">
        <f>INDEX($A$94:$H$106,MATCH($L95,$B$94:$B$106,0),MATCH($AO$93,$A$94:$H$94,0))*고양시_Modal_split!H$5 * 0.01</f>
        <v>5.1611102226808972E-3</v>
      </c>
      <c r="AU95" s="213">
        <f>INDEX($A$94:$H$106,MATCH($L95,$B$94:$B$106,0),MATCH($AO$93,$A$94:$H$94,0))*고양시_Modal_split!I$5 * 0.01</f>
        <v>0.20423250452608696</v>
      </c>
      <c r="AV95" s="213">
        <f>INDEX($A$94:$H$106,MATCH($L95,$B$94:$B$106,0),MATCH($AO$93,$A$94:$H$94,0))*고양시_Modal_split!J$5 * 0.01</f>
        <v>0.46228801566013189</v>
      </c>
      <c r="AW95" s="213">
        <f>INDEX($A$94:$H$106,MATCH($L95,$B$94:$B$106,0),MATCH($AO$93,$A$94:$H$94,0))*고양시_Modal_split!K$5 * 0.01</f>
        <v>1.4746029207659708E-3</v>
      </c>
      <c r="AX95" s="213">
        <f>INDEX($A$94:$H$106,MATCH($L95,$B$94:$B$106,0),MATCH($AO$93,$A$94:$H$94,0))*고양시_Modal_split!L$5 * 0.01</f>
        <v>0.18801187239766126</v>
      </c>
      <c r="AY95" s="213">
        <f>INDEX($A$94:$H$106,MATCH($L95,$B$94:$B$106,0),MATCH($AO$93,$A$94:$H$94,0))*고양시_Modal_split!M$5 * 0.01</f>
        <v>4.939919784566002E-2</v>
      </c>
      <c r="AZ95" s="213">
        <f>INDEX($A$94:$H$106,MATCH($L95,$B$94:$B$106,0),MATCH($AO$93,$A$94:$H$94,0))*고양시_Modal_split!N$5 * 0.01</f>
        <v>1.2534124826510751E-2</v>
      </c>
      <c r="BA95" s="213">
        <f>INDEX($A$94:$H$106,MATCH($L95,$B$94:$B$106,0),MATCH($AO$93,$A$94:$H$94,0))*고양시_Modal_split!O$5 * 0.01</f>
        <v>0.11354442489897976</v>
      </c>
      <c r="BB95" s="213">
        <f>INDEX($A$94:$H$106,MATCH($L95,$B$94:$B$106,0),MATCH($AO$93,$A$94:$H$94,0))*고양시_Modal_split!P$5 * 0.01</f>
        <v>7.3730146038298532</v>
      </c>
      <c r="BC95" s="213">
        <f>INDEX($A$94:$H$106,MATCH($L95,$B$94:$B$106,0),MATCH($BC$93,$A$94:$H$94,0))*고양시_Modal_split!C$6 * 0.01</f>
        <v>0</v>
      </c>
      <c r="BD95" s="207">
        <f>INDEX($A$94:$H$106,MATCH($L95,$B$94:$B$106,0),MATCH($BC$93,$A$94:$H$94,0))*고양시_Modal_split!D$6 * 0.01</f>
        <v>9.5949608068593688E-3</v>
      </c>
      <c r="BE95" s="207">
        <f>INDEX($A$94:$H$106,MATCH($L95,$B$94:$B$106,0),MATCH($BC$93,$A$94:$H$94,0))*고양시_Modal_split!E$6 * 0.01</f>
        <v>4.9822885484235345E-5</v>
      </c>
      <c r="BF95" s="207">
        <f>INDEX($A$94:$H$106,MATCH($L95,$B$94:$B$106,0),MATCH($BC$93,$A$94:$H$94,0))*고양시_Modal_split!F$6 * 0.01</f>
        <v>1.4135795416457471E-4</v>
      </c>
      <c r="BG95" s="207">
        <f>INDEX($A$94:$H$106,MATCH($L95,$B$94:$B$106,0),MATCH($BC$93,$A$94:$H$94,0))*고양시_Modal_split!G$6 * 0.01</f>
        <v>0</v>
      </c>
      <c r="BH95" s="207">
        <f>INDEX($A$94:$H$106,MATCH($L95,$B$94:$B$106,0),MATCH($BC$93,$A$94:$H$94,0))*고양시_Modal_split!H$6 * 0.01</f>
        <v>6.152547021425343E-4</v>
      </c>
      <c r="BI95" s="207">
        <f>INDEX($A$94:$H$106,MATCH($L95,$B$94:$B$106,0),MATCH($BC$93,$A$94:$H$94,0))*고양시_Modal_split!I$6 * 0.01</f>
        <v>4.1016980142835613E-4</v>
      </c>
      <c r="BJ95" s="207">
        <f>INDEX($A$94:$H$106,MATCH($L95,$B$94:$B$106,0),MATCH($BC$93,$A$94:$H$94,0))*고양시_Modal_split!J$6 * 0.01</f>
        <v>5.7238384719098282E-4</v>
      </c>
      <c r="BK95" s="207">
        <f>INDEX($A$94:$H$106,MATCH($L95,$B$94:$B$106,0),MATCH($BC$93,$A$94:$H$94,0))*고양시_Modal_split!K$6 * 0.01</f>
        <v>0</v>
      </c>
      <c r="BL95" s="207">
        <f>INDEX($A$94:$H$106,MATCH($L95,$B$94:$B$106,0),MATCH($BC$93,$A$94:$H$94,0))*고양시_Modal_split!L$6 * 0.01</f>
        <v>8.8059053413997365E-5</v>
      </c>
      <c r="BM95" s="207">
        <f>INDEX($A$94:$H$106,MATCH($L95,$B$94:$B$106,0),MATCH($BC$93,$A$94:$H$94,0))*고양시_Modal_split!M$6 * 0.01</f>
        <v>1.0543912974570737E-4</v>
      </c>
      <c r="BN95" s="207">
        <f>INDEX($A$94:$H$106,MATCH($L95,$B$94:$B$106,0),MATCH($BC$93,$A$94:$H$94,0))*고양시_Modal_split!N$6 * 0.01</f>
        <v>0</v>
      </c>
      <c r="BO95" s="207">
        <f>INDEX($A$94:$H$106,MATCH($L95,$B$94:$B$106,0),MATCH($BC$93,$A$94:$H$94,0))*고양시_Modal_split!O$6 * 0.01</f>
        <v>9.2693740435786697E-6</v>
      </c>
      <c r="BP95" s="214">
        <f>INDEX($A$94:$H$106,MATCH($L95,$B$94:$B$106,0),MATCH($BC$93,$A$94:$H$94,0))*고양시_Modal_split!P$6 * 0.01</f>
        <v>1.1586717554473337E-2</v>
      </c>
      <c r="BQ95" s="213">
        <f>INDEX($A$94:$H$106,MATCH($L95,$B$94:$B$106,0),MATCH($BQ$93,$A$94:$H$94,0))*고양시_Modal_split!C$7 * 0.01</f>
        <v>0</v>
      </c>
      <c r="BR95" s="213">
        <f>INDEX($A$94:$H$106,MATCH($L95,$B$94:$B$106,0),MATCH($BQ$93,$A$94:$H$94,0))*고양시_Modal_split!D$7 * 0.01</f>
        <v>2.6823508621218083E-2</v>
      </c>
      <c r="BS95" s="213">
        <f>INDEX($A$94:$H$106,MATCH($L95,$B$94:$B$106,0),MATCH($BQ$93,$A$94:$H$94,0))*고양시_Modal_split!E$7 * 0.01</f>
        <v>1.3087841184308429E-3</v>
      </c>
      <c r="BT95" s="213">
        <f>INDEX($A$94:$H$106,MATCH($L95,$B$94:$B$106,0),MATCH($BQ$93,$A$94:$H$94,0))*고양시_Modal_split!F$7 * 0.01</f>
        <v>4.3772044094677026E-4</v>
      </c>
      <c r="BU95" s="213">
        <f>INDEX($A$94:$H$106,MATCH($L95,$B$94:$B$106,0),MATCH($BQ$93,$A$94:$H$94,0))*고양시_Modal_split!G$7 * 0.01</f>
        <v>1.838425851976435E-4</v>
      </c>
      <c r="BV95" s="213">
        <f>INDEX($A$94:$H$106,MATCH($L95,$B$94:$B$106,0),MATCH($BQ$93,$A$94:$H$94,0))*고양시_Modal_split!H$7 * 0.01</f>
        <v>2.4468572648924459E-3</v>
      </c>
      <c r="BW95" s="213">
        <f>INDEX($A$94:$H$106,MATCH($L95,$B$94:$B$106,0),MATCH($BQ$93,$A$94:$H$94,0))*고양시_Modal_split!I$7 * 0.01</f>
        <v>8.1722406324762024E-3</v>
      </c>
      <c r="BX95" s="213">
        <f>INDEX($A$94:$H$106,MATCH($L95,$B$94:$B$106,0),MATCH($BQ$93,$A$94:$H$94,0))*고양시_Modal_split!J$7 * 0.01</f>
        <v>8.7544088189354047E-6</v>
      </c>
      <c r="BY95" s="213">
        <f>INDEX($A$94:$H$106,MATCH($L95,$B$94:$B$106,0),MATCH($BQ$93,$A$94:$H$94,0))*고양시_Modal_split!K$7 * 0.01</f>
        <v>3.3704473952901309E-3</v>
      </c>
      <c r="BZ95" s="213">
        <f>INDEX($A$94:$H$106,MATCH($L95,$B$94:$B$106,0),MATCH($BQ$93,$A$94:$H$94,0))*고양시_Modal_split!L$7 * 0.01</f>
        <v>3.0640430866273918E-5</v>
      </c>
      <c r="CA95" s="213">
        <f>INDEX($A$94:$H$106,MATCH($L95,$B$94:$B$106,0),MATCH($BQ$93,$A$94:$H$94,0))*고양시_Modal_split!M$7 * 0.01</f>
        <v>8.1853722457046047E-4</v>
      </c>
      <c r="CB95" s="213">
        <f>INDEX($A$94:$H$106,MATCH($L95,$B$94:$B$106,0),MATCH($BQ$93,$A$94:$H$94,0))*고양시_Modal_split!N$7 * 0.01</f>
        <v>1.7071097196924041E-4</v>
      </c>
      <c r="CC95" s="213">
        <f>INDEX($A$94:$H$106,MATCH($L95,$B$94:$B$106,0),MATCH($BQ$93,$A$94:$H$94,0))*고양시_Modal_split!O$7 * 0.01</f>
        <v>0</v>
      </c>
      <c r="CD95" s="213">
        <f>INDEX($A$94:$H$106,MATCH($L95,$B$94:$B$106,0),MATCH($BQ$93,$A$94:$H$94,0))*고양시_Modal_split!P$7 * 0.01</f>
        <v>4.3772044094677026E-2</v>
      </c>
      <c r="CE95" s="218">
        <f>M95+AA95+AO95+BC95+BQ95</f>
        <v>39.17638036516329</v>
      </c>
      <c r="CF95" s="208">
        <f t="shared" ref="CF95:CF106" si="39">N95+AB95+AP95+BD95+BR95</f>
        <v>55.0083701696703</v>
      </c>
      <c r="CG95" s="208">
        <f t="shared" ref="CG95:CG106" si="40">O95+AC95+AQ95+BE95+BS95</f>
        <v>11.724257556462391</v>
      </c>
      <c r="CH95" s="208">
        <f t="shared" ref="CH95:CH106" si="41">P95+AD95+AR95+BF95+BT95</f>
        <v>3.0048370197849303</v>
      </c>
      <c r="CI95" s="208">
        <f t="shared" ref="CI95:CI106" si="42">Q95+AE95+AS95+BG95+BU95</f>
        <v>15.261465754224824</v>
      </c>
      <c r="CJ95" s="208">
        <f t="shared" ref="CJ95:CJ106" si="43">R95+AF95+AT95+BH95+BV95</f>
        <v>9.9990797668981571E-3</v>
      </c>
      <c r="CK95" s="208">
        <f t="shared" ref="CK95:CK106" si="44">S95+AG95+AU95+BI95+BW95</f>
        <v>5.1790844401405405</v>
      </c>
      <c r="CL95" s="208">
        <f t="shared" ref="CL95:CL106" si="45">T95+AH95+AV95+BJ95+BX95</f>
        <v>11.921986822649075</v>
      </c>
      <c r="CM95" s="208">
        <f t="shared" ref="CM95:CM106" si="46">U95+AI95+AW95+BK95+BY95</f>
        <v>3.1482913973790293E-2</v>
      </c>
      <c r="CN95" s="208">
        <f t="shared" ref="CN95:CN106" si="47">V95+AJ95+AX95+BL95+BZ95</f>
        <v>6.6621765626347562</v>
      </c>
      <c r="CO95" s="208">
        <f t="shared" ref="CO95:CO106" si="48">W95+AK95+AY95+BM95+CA95</f>
        <v>0.95226828627545534</v>
      </c>
      <c r="CP95" s="208">
        <f t="shared" ref="CP95:CP106" si="49">X95+AL95+AZ95+BN95+CB95</f>
        <v>3.2435245600788347</v>
      </c>
      <c r="CQ95" s="208">
        <f t="shared" ref="CQ95:CQ106" si="50">Y95+AM95+BA95+BO95+CC95</f>
        <v>1.53356154681799</v>
      </c>
      <c r="CR95" s="219">
        <f t="shared" ref="CR95:CR106" si="51">Z95+AN95+BB95+BP95+CD95</f>
        <v>153.70939507764308</v>
      </c>
      <c r="CS95" s="225">
        <f>H95-CR95</f>
        <v>0</v>
      </c>
      <c r="CV95" s="265"/>
      <c r="CW95" s="266" t="s">
        <v>12</v>
      </c>
      <c r="CX95" s="267">
        <f>INDEX($M$93:$Z$106,MATCH($CW95,$L$93:$L$106,0),MATCH(CX$94,$M$94:$Z$94,0))/INDEX(고양시_재차인원!$D$4:$H$35,MATCH("고양시",고양시_재차인원!$B$4:$B$35,0),MATCH('A.일산테크노밸리(859991)_수정'!$CX$93,고양시_재차인원!$D$4:$H$4,0))</f>
        <v>7.4570162370430895</v>
      </c>
      <c r="CY95" s="267">
        <f>INDEX($M$93:$Z$106,MATCH($CW95,$L$93:$L$106,0),MATCH(CY$94,$M$94:$Z$94,0))/INDEX(고양시_재차인원!$K$4:$O$20,MATCH("경기도",고양시_재차인원!$K$4:$K$20,0),MATCH('A.일산테크노밸리(859991)_수정'!CY$94,고양시_재차인원!$K$4:$O$4,0))</f>
        <v>6.1683139186602279E-5</v>
      </c>
      <c r="CZ95" s="267">
        <f>INDEX($M$93:$Z$106,MATCH($CW95,$L$93:$L$106,0),MATCH(CZ$94,$M$94:$Z$94,0))/INDEX(고양시_재차인원!$K$4:$O$20,MATCH("경기도",고양시_재차인원!$K$4:$K$20,0),MATCH('A.일산테크노밸리(859991)_수정'!CZ$94,고양시_재차인원!$K$4:$O$4,0))</f>
        <v>1.7147912693875434E-2</v>
      </c>
      <c r="DA95" s="267">
        <f>INDEX($M$93:$Z$106,MATCH($CW95,$L$93:$L$106,0),MATCH(DA$94,$M$94:$Z$94,0))/INDEX(고양시_재차인원!$K$4:$O$20,MATCH("경기도",고양시_재차인원!$K$4:$K$20,0),MATCH('A.일산테크노밸리(859991)_수정'!DA$94,고양시_재차인원!$K$4:$O$4,0))</f>
        <v>0.35753932553936557</v>
      </c>
      <c r="DB95" s="267">
        <f>INDEX($AA$93:$AN$106,MATCH($CW95,$L$93:$L$106,0),MATCH(DB$94,$AA$94:$AN$94,0))/INDEX(고양시_재차인원!$D$4:$H$35,MATCH("고양시",고양시_재차인원!$B$4:$B$35,0),MATCH('A.일산테크노밸리(859991)_수정'!$DB$93,고양시_재차인원!$D$4:$H$4,0))</f>
        <v>29.232020151111662</v>
      </c>
      <c r="DC95" s="267">
        <f>INDEX($AA$93:$AN$106,MATCH($CW95,$L$93:$L$106,0),MATCH(DC$94,$AA$94:$AN$94,0))/INDEX(고양시_재차인원!$K$4:$O$20,MATCH("경기도",고양시_재차인원!$K$4:$K$20,0),MATCH('A.일산테크노밸리(859991)_수정'!DC$94,고양시_재차인원!$K$4:$O$4,0))</f>
        <v>0</v>
      </c>
      <c r="DD95" s="267">
        <f>INDEX($AA$93:$AN$106,MATCH($CW95,$L$93:$L$106,0),MATCH(DD$94,$AA$94:$AN$94,0))/INDEX(고양시_재차인원!$K$4:$O$20,MATCH("경기도",고양시_재차인원!$K$4:$K$20,0),MATCH('A.일산테크노밸리(859991)_수정'!DD$94,고양시_재차인원!$K$4:$O$4,0))</f>
        <v>0.15535189714219785</v>
      </c>
      <c r="DE95" s="267">
        <f>INDEX($AA$93:$AN$106,MATCH($CW95,$L$93:$L$106,0),MATCH(DE$94,$AA$94:$AN$94,0))/INDEX(고양시_재차인원!$K$4:$O$20,MATCH("경기도",고양시_재차인원!$K$4:$K$20,0),MATCH('A.일산테크노밸리(859991)_수정'!DE$94,고양시_재차인원!$K$4:$O$4,0))</f>
        <v>3.958491334962511</v>
      </c>
      <c r="DF95" s="267">
        <f>INDEX($AO$93:$BB$106,MATCH($CW95,$L$93:$L$106,0),MATCH(DF$94,$AO$94:$BB$94,0))/INDEX(고양시_재차인원!$D$4:$H$35,MATCH("고양시",고양시_재차인원!$B$4:$B$35,0),MATCH('A.일산테크노밸리(859991)_수정'!$DF$93,고양시_재차인원!$D$4:$H$4,0))</f>
        <v>4.1561116166819367</v>
      </c>
      <c r="DG95" s="267">
        <f>INDEX($AO$93:$BB$106,MATCH($CW95,$L$93:$L$106,0),MATCH(DG$94,$AO$94:$BB$94,0))/INDEX(고양시_재차인원!$K$4:$O$20,MATCH("경기도",고양시_재차인원!$K$4:$K$20,0),MATCH('A.일산테크노밸리(859991)_수정'!DG$94,고양시_재차인원!$K$4:$O$4,0))</f>
        <v>1.7926746171173662E-4</v>
      </c>
      <c r="DH95" s="267">
        <f>INDEX($AO$93:$BB$106,MATCH($CW95,$L$93:$L$106,0),MATCH(DH$94,$AO$94:$BB$94,0))/INDEX(고양시_재차인원!$K$4:$O$20,MATCH("경기도",고양시_재차인원!$K$4:$K$20,0),MATCH('A.일산테크노밸리(859991)_수정'!DH$94,고양시_재차인원!$K$4:$O$4,0))</f>
        <v>7.0938695563072928E-3</v>
      </c>
      <c r="DI95" s="267">
        <f>INDEX($AO$93:$BB$106,MATCH($CW95,$L$93:$L$106,0),MATCH(DI$94,$AO$94:$BB$94,0))/INDEX(고양시_재차인원!$K$4:$O$20,MATCH("경기도",고양시_재차인원!$K$4:$K$20,0),MATCH('A.일산테크노밸리(859991)_수정'!DI$94,고양시_재차인원!$K$4:$O$4,0))</f>
        <v>0.12534124826510751</v>
      </c>
      <c r="DJ95" s="268">
        <f>INDEX($BC$93:$BP$106,MATCH($CW95,$L$93:$L$106,0),MATCH(DJ$94,$BC$94:$BP$94,0))/INDEX(고양시_재차인원!$D$4:$H$35,MATCH("고양시",고양시_재차인원!$B$4:$B$35,0),MATCH('A.일산테크노밸리(859991)_수정'!$DJ$93,고양시_재차인원!$D$4:$H$4,0))</f>
        <v>7.0551182403377705E-3</v>
      </c>
      <c r="DK95" s="267">
        <f>INDEX($BC$93:$BP$106,MATCH($CW95,$L$93:$L$106,0),MATCH(DK$94,$BC$94:$BP$94,0))/INDEX(고양시_재차인원!$K$4:$O$20,MATCH("경기도",고양시_재차인원!$K$4:$K$20,0),MATCH('A.일산테크노밸리(859991)_수정'!DK$94,고양시_재차인원!$K$4:$O$4,0))</f>
        <v>2.1370430779525333E-5</v>
      </c>
      <c r="DL95" s="267">
        <f>INDEX($BC$93:$BP$106,MATCH($CW95,$L$93:$L$106,0),MATCH(DL$94,$BC$94:$BP$94,0))/INDEX(고양시_재차인원!$K$4:$O$20,MATCH("경기도",고양시_재차인원!$K$4:$K$20,0),MATCH('A.일산테크노밸리(859991)_수정'!DL$94,고양시_재차인원!$K$4:$O$4,0))</f>
        <v>1.4246953853016885E-5</v>
      </c>
      <c r="DM95" s="267">
        <f>INDEX($BC$93:$BP$106,MATCH($CW95,$L$93:$L$106,0),MATCH(DM$94,$BC$94:$BP$94,0))/INDEX(고양시_재차인원!$K$4:$O$20,MATCH("경기도",고양시_재차인원!$K$4:$K$20,0),MATCH('A.일산테크노밸리(859991)_수정'!DM$94,고양시_재차인원!$K$4:$O$4,0))</f>
        <v>5.8706035609331574E-5</v>
      </c>
      <c r="DN95" s="268">
        <f>INDEX($BQ$93:$CD$106,MATCH($CW95,$L$93:$L$106,0),MATCH(DN$94,$BQ$94:$CD$94,0))/INDEX(고양시_재차인원!$D$4:$H$35,MATCH("고양시",고양시_재차인원!$B$4:$B$35,0),MATCH('A.일산테크노밸리(859991)_수정'!$DN$93,고양시_재차인원!$D$4:$H$4,0))</f>
        <v>2.1288498905728637E-2</v>
      </c>
      <c r="DO95" s="267">
        <f>INDEX($BQ$93:$CD$106,MATCH($CW95,$L$93:$L$106,0),MATCH(DO$94,$BQ$94:$CD$94,0))/INDEX(고양시_재차인원!$K$4:$O$20,MATCH("경기도",고양시_재차인원!$K$4:$K$20,0),MATCH('A.일산테크노밸리(859991)_수정'!DO$94,고양시_재차인원!$K$4:$O$4,0))</f>
        <v>8.4989832056007152E-5</v>
      </c>
      <c r="DP95" s="267">
        <f>INDEX($BQ$93:$CD$106,MATCH($CW95,$L$93:$L$106,0),MATCH(DP$94,$BQ$94:$CD$94,0))/INDEX(고양시_재차인원!$K$4:$O$20,MATCH("경기도",고양시_재차인원!$K$4:$K$20,0),MATCH('A.일산테크노밸리(859991)_수정'!DP$94,고양시_재차인원!$K$4:$O$4,0))</f>
        <v>2.8385691672373054E-4</v>
      </c>
      <c r="DQ95" s="267">
        <f>INDEX($BQ$93:$CD$106,MATCH($CW95,$L$93:$L$106,0),MATCH(DQ$94,$BQ$94:$CD$94,0))/INDEX(고양시_재차인원!$K$4:$O$20,MATCH("경기도",고양시_재차인원!$K$4:$K$20,0),MATCH('A.일산테크노밸리(859991)_수정'!DQ$94,고양시_재차인원!$K$4:$O$4,0))</f>
        <v>2.0426953910849278E-5</v>
      </c>
      <c r="DR95" s="269">
        <f>CX95+DB95+DF95+DJ95+DN95</f>
        <v>40.873491621982751</v>
      </c>
      <c r="DS95" s="270">
        <f t="shared" ref="DS95:DS106" si="52">CY95+DC95+DG95+DK95+DO95</f>
        <v>3.4731086373387141E-4</v>
      </c>
      <c r="DT95" s="270">
        <f t="shared" ref="DT95:DT106" si="53">CZ95+DD95+DH95+DL95+DP95</f>
        <v>0.17989178326295732</v>
      </c>
      <c r="DU95" s="270">
        <f t="shared" ref="DU95:DU106" si="54">DA95+DE95+DI95+DM95+DQ95</f>
        <v>4.4414510417565047</v>
      </c>
      <c r="DW95" s="278"/>
      <c r="DX95" s="278" t="s">
        <v>589</v>
      </c>
      <c r="DY95" s="281">
        <f>DR95+DU95</f>
        <v>45.314942663739259</v>
      </c>
      <c r="DZ95" s="281">
        <f>DS95+DT95</f>
        <v>0.1802390941266912</v>
      </c>
      <c r="EC95" s="412" t="s">
        <v>13</v>
      </c>
      <c r="ED95" s="412" t="s">
        <v>568</v>
      </c>
      <c r="EE95" s="412">
        <v>907.24059999999997</v>
      </c>
      <c r="EF95" s="412">
        <v>0.22444210067316503</v>
      </c>
      <c r="EG95" s="413">
        <v>859002</v>
      </c>
      <c r="EH95" s="414">
        <f t="shared" ref="EH95:EH138" si="55">VLOOKUP($EM95,$DX$94:$DZ$103,2,FALSE)*$EF95*$BB$11*(1-$BD$7)</f>
        <v>8.0208192508739664</v>
      </c>
      <c r="EI95" s="415">
        <f t="shared" ref="EI95:EI138" si="56">VLOOKUP($EM95,$DX$94:$DZ$103,3,FALSE)*$EF95*$BB$11*(1-$BD$7)</f>
        <v>3.1902615582216375E-2</v>
      </c>
      <c r="EJ95" s="402">
        <v>0</v>
      </c>
      <c r="EM95" s="278" t="s">
        <v>13</v>
      </c>
      <c r="EN95" s="278" t="s">
        <v>568</v>
      </c>
      <c r="EO95" s="278">
        <v>907.24059999999997</v>
      </c>
      <c r="EP95" s="278">
        <v>0.22444210067316503</v>
      </c>
      <c r="EQ95" s="289">
        <v>859002</v>
      </c>
      <c r="ER95" s="290">
        <f t="shared" si="37"/>
        <v>8.0208192508739664</v>
      </c>
      <c r="ES95" s="291">
        <f t="shared" si="38"/>
        <v>3.1902615582216375E-2</v>
      </c>
      <c r="ET95" s="402">
        <v>0</v>
      </c>
      <c r="EV95" s="34"/>
      <c r="EW95" s="34"/>
      <c r="EX95" s="34"/>
      <c r="EY95" s="34"/>
      <c r="EZ95" s="378"/>
      <c r="FA95" s="401"/>
      <c r="FB95" s="402"/>
      <c r="FC95" s="402"/>
    </row>
    <row r="96" spans="1:159" ht="25">
      <c r="A96" s="205"/>
      <c r="B96" s="205" t="s">
        <v>13</v>
      </c>
      <c r="C96" s="400">
        <f>'A.일산테크노밸리(859991)_수정'!$P29*KTDB_TripDistribution_2045!T$12 * (1+KTDB_발생량도착량_증가율!$D$8 *5) * (1+KTDB_발생량도착량_증가율!$E$8 *5) * (1+KTDB_발생량도착량_증가율!$F$8 *5) * (1+KTDB_발생량도착량_증가율!$G$8 *5)</f>
        <v>14.415785038303209</v>
      </c>
      <c r="D96" s="400">
        <f>'A.일산테크노밸리(859991)_수정'!$P29*KTDB_TripDistribution_2045!U$12 * (1+KTDB_발생량도착량_증가율!$D$8 *5) * (1+KTDB_발생량도착량_증가율!$E$8 *5) * (1+KTDB_발생량도착량_증가율!$F$8 *5) * (1+KTDB_발생량도착량_증가율!$G$8 *5)</f>
        <v>104.32998552804169</v>
      </c>
      <c r="E96" s="400">
        <f>'A.일산테크노밸리(859991)_수정'!$P29*KTDB_TripDistribution_2045!V$12 * (1+KTDB_발생량도착량_증가율!$D$8 *5) * (1+KTDB_발생량도착량_증가율!$E$8 *5) * (1+KTDB_발생량도착량_증가율!$F$8 *5) * (1+KTDB_발생량도착량_증가율!$G$8 *5)</f>
        <v>5.9851530313442352</v>
      </c>
      <c r="F96" s="400">
        <f>'A.일산테크노밸리(859991)_수정'!$P29*KTDB_TripDistribution_2045!W$12 * (1+KTDB_발생량도착량_증가율!$D$8 *5) * (1+KTDB_발생량도착량_증가율!$E$8 *5) * (1+KTDB_발생량도착량_증가율!$F$8 *5) * (1+KTDB_발생량도착량_증가율!$G$8 *5)</f>
        <v>9.4056883677489465E-3</v>
      </c>
      <c r="G96" s="400">
        <f>'A.일산테크노밸리(859991)_수정'!$P29*KTDB_TripDistribution_2045!X$12 * (1+KTDB_발생량도착량_증가율!$D$8 *5) * (1+KTDB_발생량도착량_증가율!$E$8 *5) * (1+KTDB_발생량도착량_증가율!$F$8 *5) * (1+KTDB_발생량도착량_증가율!$G$8 *5)</f>
        <v>3.5532600500384884E-2</v>
      </c>
      <c r="H96" s="400">
        <f>'A.일산테크노밸리(859991)_수정'!$P29*KTDB_TripDistribution_2045!Y$12 * (1+KTDB_발생량도착량_증가율!$D$8 *5) * (1+KTDB_발생량도착량_증가율!$E$8 *5) * (1+KTDB_발생량도착량_증가율!$F$8 *5) * (1+KTDB_발생량도착량_증가율!$G$8 *5)</f>
        <v>124.77586188655728</v>
      </c>
      <c r="J96" s="230">
        <f t="shared" ref="J96:J106" si="57">CR96</f>
        <v>124.77586188655728</v>
      </c>
      <c r="K96" s="206"/>
      <c r="L96" s="209" t="s">
        <v>13</v>
      </c>
      <c r="M96" s="213">
        <f>INDEX($A$94:$H$106,MATCH($L96,$B$94:$B$106,0),MATCH($M$93,$A$94:$H$94,0))*고양시_Modal_split!C$3 * 0.01</f>
        <v>4.0364198107248984E-2</v>
      </c>
      <c r="N96" s="213">
        <f>INDEX($A$94:$H$106,MATCH($L96,$B$94:$B$106,0),MATCH($M$93,$A$94:$H$94,0))*고양시_Modal_split!D$3 * 0.01</f>
        <v>6.7797437035139989</v>
      </c>
      <c r="O96" s="213">
        <f>INDEX($A$94:$H$106,MATCH($L96,$B$94:$B$106,0),MATCH($M$93,$A$94:$H$94,0))*고양시_Modal_split!E$3 * 0.01</f>
        <v>0.82025816867945256</v>
      </c>
      <c r="P96" s="213">
        <f>INDEX($A$94:$H$106,MATCH($L96,$B$94:$B$106,0),MATCH($M$93,$A$94:$H$94,0))*고양시_Modal_split!F$3 * 0.01</f>
        <v>1.3219274880124041</v>
      </c>
      <c r="Q96" s="213">
        <f>INDEX($A$94:$H$106,MATCH($L96,$B$94:$B$106,0),MATCH($M$93,$A$94:$H$94,0))*고양시_Modal_split!G$3 * 0.01</f>
        <v>0.13262522235238952</v>
      </c>
      <c r="R96" s="213">
        <f>INDEX($A$94:$H$106,MATCH($L96,$B$94:$B$106,0),MATCH($M$93,$A$94:$H$94,0))*고양시_Modal_split!H$3 * 0.01</f>
        <v>1.4415785038303208E-3</v>
      </c>
      <c r="S96" s="213">
        <f>INDEX($A$94:$H$106,MATCH($L96,$B$94:$B$106,0),MATCH($M$93,$A$94:$H$94,0))*고양시_Modal_split!I$3 * 0.01</f>
        <v>0.40075882406482921</v>
      </c>
      <c r="T96" s="213">
        <f>INDEX($A$94:$H$106,MATCH($L96,$B$94:$B$106,0),MATCH($M$93,$A$94:$H$94,0))*고양시_Modal_split!J$3 * 0.01</f>
        <v>4.388164965659497</v>
      </c>
      <c r="U96" s="213">
        <f>INDEX($A$94:$H$106,MATCH($L96,$B$94:$B$106,0),MATCH($M$93,$A$94:$H$94,0))*고양시_Modal_split!K$3 * 0.01</f>
        <v>2.1623677557454816E-2</v>
      </c>
      <c r="V96" s="213">
        <f>INDEX($A$94:$H$106,MATCH($L96,$B$94:$B$106,0),MATCH($M$93,$A$94:$H$94,0))*고양시_Modal_split!L$3 * 0.01</f>
        <v>0.43535670815675692</v>
      </c>
      <c r="W96" s="213">
        <f>INDEX($A$94:$H$106,MATCH($L96,$B$94:$B$106,0),MATCH($M$93,$A$94:$H$94,0))*고양시_Modal_split!M$3 * 0.01</f>
        <v>3.315630558809738E-2</v>
      </c>
      <c r="X96" s="213">
        <f>INDEX($A$94:$H$106,MATCH($L96,$B$94:$B$106,0),MATCH($M$93,$A$94:$H$94,0))*고양시_Modal_split!N$3 * 0.01</f>
        <v>1.441578503830321E-2</v>
      </c>
      <c r="Y96" s="213">
        <f>INDEX($A$94:$H$106,MATCH($L96,$B$94:$B$106,0),MATCH($M$93,$A$94:$H$94,0))*고양시_Modal_split!O$3 * 0.01</f>
        <v>2.5948413068945776E-2</v>
      </c>
      <c r="Z96" s="213">
        <f>INDEX($A$94:$H$106,MATCH($L96,$B$94:$B$106,0),MATCH($M$93,$A$94:$H$94,0))*고양시_Modal_split!P$3 * 0.01</f>
        <v>14.415785038303209</v>
      </c>
      <c r="AA96" s="213">
        <f>INDEX($A$94:$H$106,MATCH($L96,$B$94:$B$106,0),MATCH($AA$93,$A$94:$H$94,0))*고양시_Modal_split!C$4 * 0.01</f>
        <v>31.758047594735892</v>
      </c>
      <c r="AB96" s="213">
        <f>INDEX($A$94:$H$106,MATCH($L96,$B$94:$B$106,0),MATCH($AA$93,$A$94:$H$94,0))*고양시_Modal_split!D$4 * 0.01</f>
        <v>33.45862635884297</v>
      </c>
      <c r="AC96" s="213">
        <f>INDEX($A$94:$H$106,MATCH($L96,$B$94:$B$106,0),MATCH($AA$93,$A$94:$H$94,0))*고양시_Modal_split!E$4 * 0.01</f>
        <v>8.1064398755288405</v>
      </c>
      <c r="AD96" s="213">
        <f>INDEX($A$94:$H$106,MATCH($L96,$B$94:$B$106,0),MATCH($AA$93,$A$94:$H$94,0))*고양시_Modal_split!F$4 * 0.01</f>
        <v>0.99113486251639604</v>
      </c>
      <c r="AE96" s="213">
        <f>INDEX($A$94:$H$106,MATCH($L96,$B$94:$B$106,0),MATCH($AA$93,$A$94:$H$94,0))*고양시_Modal_split!G$4 * 0.01</f>
        <v>12.21704130533368</v>
      </c>
      <c r="AF96" s="213">
        <f>INDEX($A$94:$H$106,MATCH($L96,$B$94:$B$106,0),MATCH($AA$93,$A$94:$H$94,0))*고양시_Modal_split!H$4 * 0.01</f>
        <v>0</v>
      </c>
      <c r="AG96" s="213">
        <f>INDEX($A$94:$H$106,MATCH($L96,$B$94:$B$106,0),MATCH($AA$93,$A$94:$H$94,0))*고양시_Modal_split!I$4 * 0.01</f>
        <v>3.6306834963758501</v>
      </c>
      <c r="AH96" s="213">
        <f>INDEX($A$94:$H$106,MATCH($L96,$B$94:$B$106,0),MATCH($AA$93,$A$94:$H$94,0))*고양시_Modal_split!J$4 * 0.01</f>
        <v>4.913942318370764</v>
      </c>
      <c r="AI96" s="213">
        <f>INDEX($A$94:$H$106,MATCH($L96,$B$94:$B$106,0),MATCH($AA$93,$A$94:$H$94,0))*고양시_Modal_split!K$4 * 0.01</f>
        <v>0</v>
      </c>
      <c r="AJ96" s="213">
        <f>INDEX($A$94:$H$106,MATCH($L96,$B$94:$B$106,0),MATCH($AA$93,$A$94:$H$94,0))*고양시_Modal_split!L$4 * 0.01</f>
        <v>4.8200453313955265</v>
      </c>
      <c r="AK96" s="213">
        <f>INDEX($A$94:$H$106,MATCH($L96,$B$94:$B$106,0),MATCH($AA$93,$A$94:$H$94,0))*고양시_Modal_split!M$4 * 0.01</f>
        <v>0.69901090303787938</v>
      </c>
      <c r="AL96" s="213">
        <f>INDEX($A$94:$H$106,MATCH($L96,$B$94:$B$106,0),MATCH($AA$93,$A$94:$H$94,0))*고양시_Modal_split!N$4 * 0.01</f>
        <v>2.6082496382010425</v>
      </c>
      <c r="AM96" s="213">
        <f>INDEX($A$94:$H$106,MATCH($L96,$B$94:$B$106,0),MATCH($AA$93,$A$94:$H$94,0))*고양시_Modal_split!O$4 * 0.01</f>
        <v>1.1267638437028504</v>
      </c>
      <c r="AN96" s="213">
        <f>INDEX($A$94:$H$106,MATCH($L96,$B$94:$B$106,0),MATCH($AA$93,$A$94:$H$94,0))*고양시_Modal_split!P$4 * 0.01</f>
        <v>104.32998552804169</v>
      </c>
      <c r="AO96" s="213">
        <f>INDEX($A$94:$H$106,MATCH($L96,$B$94:$B$106,0),MATCH($AO$93,$A$94:$H$94,0))*고양시_Modal_split!C$5 * 0.01</f>
        <v>3.591091818806541E-3</v>
      </c>
      <c r="AP96" s="213">
        <f>INDEX($A$94:$H$106,MATCH($L96,$B$94:$B$106,0),MATCH($AO$93,$A$94:$H$94,0))*고양시_Modal_split!D$5 * 0.01</f>
        <v>4.3859201413690556</v>
      </c>
      <c r="AQ96" s="213">
        <f>INDEX($A$94:$H$106,MATCH($L96,$B$94:$B$106,0),MATCH($AO$93,$A$94:$H$94,0))*고양시_Modal_split!E$5 * 0.01</f>
        <v>0.58953757358740722</v>
      </c>
      <c r="AR96" s="213">
        <f>INDEX($A$94:$H$106,MATCH($L96,$B$94:$B$106,0),MATCH($AO$93,$A$94:$H$94,0))*고양시_Modal_split!F$5 * 0.01</f>
        <v>0.12568821365822894</v>
      </c>
      <c r="AS96" s="213">
        <f>INDEX($A$94:$H$106,MATCH($L96,$B$94:$B$106,0),MATCH($AO$93,$A$94:$H$94,0))*고양시_Modal_split!G$5 * 0.01</f>
        <v>3.890349470373753E-2</v>
      </c>
      <c r="AT96" s="213">
        <f>INDEX($A$94:$H$106,MATCH($L96,$B$94:$B$106,0),MATCH($AO$93,$A$94:$H$94,0))*고양시_Modal_split!H$5 * 0.01</f>
        <v>4.189607121940964E-3</v>
      </c>
      <c r="AU96" s="213">
        <f>INDEX($A$94:$H$106,MATCH($L96,$B$94:$B$106,0),MATCH($AO$93,$A$94:$H$94,0))*고양시_Modal_split!I$5 * 0.01</f>
        <v>0.16578873896823532</v>
      </c>
      <c r="AV96" s="213">
        <f>INDEX($A$94:$H$106,MATCH($L96,$B$94:$B$106,0),MATCH($AO$93,$A$94:$H$94,0))*고양시_Modal_split!J$5 * 0.01</f>
        <v>0.37526909506528355</v>
      </c>
      <c r="AW96" s="213">
        <f>INDEX($A$94:$H$106,MATCH($L96,$B$94:$B$106,0),MATCH($AO$93,$A$94:$H$94,0))*고양시_Modal_split!K$5 * 0.01</f>
        <v>1.1970306062688472E-3</v>
      </c>
      <c r="AX96" s="213">
        <f>INDEX($A$94:$H$106,MATCH($L96,$B$94:$B$106,0),MATCH($AO$93,$A$94:$H$94,0))*고양시_Modal_split!L$5 * 0.01</f>
        <v>0.15262140229927798</v>
      </c>
      <c r="AY96" s="213">
        <f>INDEX($A$94:$H$106,MATCH($L96,$B$94:$B$106,0),MATCH($AO$93,$A$94:$H$94,0))*고양시_Modal_split!M$5 * 0.01</f>
        <v>4.010052531000638E-2</v>
      </c>
      <c r="AZ96" s="213">
        <f>INDEX($A$94:$H$106,MATCH($L96,$B$94:$B$106,0),MATCH($AO$93,$A$94:$H$94,0))*고양시_Modal_split!N$5 * 0.01</f>
        <v>1.0174760153285198E-2</v>
      </c>
      <c r="BA96" s="213">
        <f>INDEX($A$94:$H$106,MATCH($L96,$B$94:$B$106,0),MATCH($AO$93,$A$94:$H$94,0))*고양시_Modal_split!O$5 * 0.01</f>
        <v>9.2171356682701225E-2</v>
      </c>
      <c r="BB96" s="213">
        <f>INDEX($A$94:$H$106,MATCH($L96,$B$94:$B$106,0),MATCH($AO$93,$A$94:$H$94,0))*고양시_Modal_split!P$5 * 0.01</f>
        <v>5.9851530313442343</v>
      </c>
      <c r="BC96" s="213">
        <f>INDEX($A$94:$H$106,MATCH($L96,$B$94:$B$106,0),MATCH($BC$93,$A$94:$H$94,0))*고양시_Modal_split!C$6 * 0.01</f>
        <v>0</v>
      </c>
      <c r="BD96" s="207">
        <f>INDEX($A$94:$H$106,MATCH($L96,$B$94:$B$106,0),MATCH($BC$93,$A$94:$H$94,0))*고양시_Modal_split!D$6 * 0.01</f>
        <v>7.7888505373329021E-3</v>
      </c>
      <c r="BE96" s="207">
        <f>INDEX($A$94:$H$106,MATCH($L96,$B$94:$B$106,0),MATCH($BC$93,$A$94:$H$94,0))*고양시_Modal_split!E$6 * 0.01</f>
        <v>4.0444459981320477E-5</v>
      </c>
      <c r="BF96" s="207">
        <f>INDEX($A$94:$H$106,MATCH($L96,$B$94:$B$106,0),MATCH($BC$93,$A$94:$H$94,0))*고양시_Modal_split!F$6 * 0.01</f>
        <v>1.1474939808653716E-4</v>
      </c>
      <c r="BG96" s="207">
        <f>INDEX($A$94:$H$106,MATCH($L96,$B$94:$B$106,0),MATCH($BC$93,$A$94:$H$94,0))*고양시_Modal_split!G$6 * 0.01</f>
        <v>0</v>
      </c>
      <c r="BH96" s="207">
        <f>INDEX($A$94:$H$106,MATCH($L96,$B$94:$B$106,0),MATCH($BC$93,$A$94:$H$94,0))*고양시_Modal_split!H$6 * 0.01</f>
        <v>4.9944205232746908E-4</v>
      </c>
      <c r="BI96" s="207">
        <f>INDEX($A$94:$H$106,MATCH($L96,$B$94:$B$106,0),MATCH($BC$93,$A$94:$H$94,0))*고양시_Modal_split!I$6 * 0.01</f>
        <v>3.3296136821831272E-4</v>
      </c>
      <c r="BJ96" s="207">
        <f>INDEX($A$94:$H$106,MATCH($L96,$B$94:$B$106,0),MATCH($BC$93,$A$94:$H$94,0))*고양시_Modal_split!J$6 * 0.01</f>
        <v>4.6464100536679795E-4</v>
      </c>
      <c r="BK96" s="207">
        <f>INDEX($A$94:$H$106,MATCH($L96,$B$94:$B$106,0),MATCH($BC$93,$A$94:$H$94,0))*고양시_Modal_split!K$6 * 0.01</f>
        <v>0</v>
      </c>
      <c r="BL96" s="207">
        <f>INDEX($A$94:$H$106,MATCH($L96,$B$94:$B$106,0),MATCH($BC$93,$A$94:$H$94,0))*고양시_Modal_split!L$6 * 0.01</f>
        <v>7.1483231594891993E-5</v>
      </c>
      <c r="BM96" s="207">
        <f>INDEX($A$94:$H$106,MATCH($L96,$B$94:$B$106,0),MATCH($BC$93,$A$94:$H$94,0))*고양시_Modal_split!M$6 * 0.01</f>
        <v>8.559176414651542E-5</v>
      </c>
      <c r="BN96" s="207">
        <f>INDEX($A$94:$H$106,MATCH($L96,$B$94:$B$106,0),MATCH($BC$93,$A$94:$H$94,0))*고양시_Modal_split!N$6 * 0.01</f>
        <v>0</v>
      </c>
      <c r="BO96" s="207">
        <f>INDEX($A$94:$H$106,MATCH($L96,$B$94:$B$106,0),MATCH($BC$93,$A$94:$H$94,0))*고양시_Modal_split!O$6 * 0.01</f>
        <v>7.5245506941991578E-6</v>
      </c>
      <c r="BP96" s="214">
        <f>INDEX($A$94:$H$106,MATCH($L96,$B$94:$B$106,0),MATCH($BC$93,$A$94:$H$94,0))*고양시_Modal_split!P$6 * 0.01</f>
        <v>9.4056883677489465E-3</v>
      </c>
      <c r="BQ96" s="213">
        <f>INDEX($A$94:$H$106,MATCH($L96,$B$94:$B$106,0),MATCH($BQ$93,$A$94:$H$94,0))*고양시_Modal_split!C$7 * 0.01</f>
        <v>0</v>
      </c>
      <c r="BR96" s="213">
        <f>INDEX($A$94:$H$106,MATCH($L96,$B$94:$B$106,0),MATCH($BQ$93,$A$94:$H$94,0))*고양시_Modal_split!D$7 * 0.01</f>
        <v>2.1774377586635855E-2</v>
      </c>
      <c r="BS96" s="213">
        <f>INDEX($A$94:$H$106,MATCH($L96,$B$94:$B$106,0),MATCH($BQ$93,$A$94:$H$94,0))*고양시_Modal_split!E$7 * 0.01</f>
        <v>1.062424754961508E-3</v>
      </c>
      <c r="BT96" s="213">
        <f>INDEX($A$94:$H$106,MATCH($L96,$B$94:$B$106,0),MATCH($BQ$93,$A$94:$H$94,0))*고양시_Modal_split!F$7 * 0.01</f>
        <v>3.5532600500384884E-4</v>
      </c>
      <c r="BU96" s="213">
        <f>INDEX($A$94:$H$106,MATCH($L96,$B$94:$B$106,0),MATCH($BQ$93,$A$94:$H$94,0))*고양시_Modal_split!G$7 * 0.01</f>
        <v>1.4923692210161652E-4</v>
      </c>
      <c r="BV96" s="213">
        <f>INDEX($A$94:$H$106,MATCH($L96,$B$94:$B$106,0),MATCH($BQ$93,$A$94:$H$94,0))*고양시_Modal_split!H$7 * 0.01</f>
        <v>1.9862723679715151E-3</v>
      </c>
      <c r="BW96" s="213">
        <f>INDEX($A$94:$H$106,MATCH($L96,$B$94:$B$106,0),MATCH($BQ$93,$A$94:$H$94,0))*고양시_Modal_split!I$7 * 0.01</f>
        <v>6.6339365134218588E-3</v>
      </c>
      <c r="BX96" s="213">
        <f>INDEX($A$94:$H$106,MATCH($L96,$B$94:$B$106,0),MATCH($BQ$93,$A$94:$H$94,0))*고양시_Modal_split!J$7 * 0.01</f>
        <v>7.1065201000769768E-6</v>
      </c>
      <c r="BY96" s="213">
        <f>INDEX($A$94:$H$106,MATCH($L96,$B$94:$B$106,0),MATCH($BQ$93,$A$94:$H$94,0))*고양시_Modal_split!K$7 * 0.01</f>
        <v>2.7360102385296358E-3</v>
      </c>
      <c r="BZ96" s="213">
        <f>INDEX($A$94:$H$106,MATCH($L96,$B$94:$B$106,0),MATCH($BQ$93,$A$94:$H$94,0))*고양시_Modal_split!L$7 * 0.01</f>
        <v>2.487282035026942E-5</v>
      </c>
      <c r="CA96" s="213">
        <f>INDEX($A$94:$H$106,MATCH($L96,$B$94:$B$106,0),MATCH($BQ$93,$A$94:$H$94,0))*고양시_Modal_split!M$7 * 0.01</f>
        <v>6.6445962935719738E-4</v>
      </c>
      <c r="CB96" s="213">
        <f>INDEX($A$94:$H$106,MATCH($L96,$B$94:$B$106,0),MATCH($BQ$93,$A$94:$H$94,0))*고양시_Modal_split!N$7 * 0.01</f>
        <v>1.3857714195150103E-4</v>
      </c>
      <c r="CC96" s="213">
        <f>INDEX($A$94:$H$106,MATCH($L96,$B$94:$B$106,0),MATCH($BQ$93,$A$94:$H$94,0))*고양시_Modal_split!O$7 * 0.01</f>
        <v>0</v>
      </c>
      <c r="CD96" s="213">
        <f>INDEX($A$94:$H$106,MATCH($L96,$B$94:$B$106,0),MATCH($BQ$93,$A$94:$H$94,0))*고양시_Modal_split!P$7 * 0.01</f>
        <v>3.5532600500384884E-2</v>
      </c>
      <c r="CE96" s="218">
        <f t="shared" ref="CE96:CE106" si="58">M96+AA96+AO96+BC96+BQ96</f>
        <v>31.802002884661945</v>
      </c>
      <c r="CF96" s="208">
        <f t="shared" si="39"/>
        <v>44.653853431849996</v>
      </c>
      <c r="CG96" s="208">
        <f t="shared" si="40"/>
        <v>9.5173384870106439</v>
      </c>
      <c r="CH96" s="208">
        <f t="shared" si="41"/>
        <v>2.4392206395901197</v>
      </c>
      <c r="CI96" s="208">
        <f t="shared" si="42"/>
        <v>12.388719259311909</v>
      </c>
      <c r="CJ96" s="208">
        <f t="shared" si="43"/>
        <v>8.1169000460702689E-3</v>
      </c>
      <c r="CK96" s="208">
        <f t="shared" si="44"/>
        <v>4.204197957290555</v>
      </c>
      <c r="CL96" s="208">
        <f t="shared" si="45"/>
        <v>9.6778481266210097</v>
      </c>
      <c r="CM96" s="208">
        <f t="shared" si="46"/>
        <v>2.5556718402253299E-2</v>
      </c>
      <c r="CN96" s="208">
        <f t="shared" si="47"/>
        <v>5.4081197979035061</v>
      </c>
      <c r="CO96" s="208">
        <f t="shared" si="48"/>
        <v>0.77301778532948684</v>
      </c>
      <c r="CP96" s="208">
        <f t="shared" si="49"/>
        <v>2.6329787605345825</v>
      </c>
      <c r="CQ96" s="208">
        <f t="shared" si="50"/>
        <v>1.2448911380051917</v>
      </c>
      <c r="CR96" s="219">
        <f t="shared" si="51"/>
        <v>124.77586188655728</v>
      </c>
      <c r="CS96" s="225">
        <f t="shared" ref="CS96:CS106" si="59">H96-CR96</f>
        <v>0</v>
      </c>
      <c r="CV96" s="265"/>
      <c r="CW96" s="266" t="s">
        <v>13</v>
      </c>
      <c r="CX96" s="267">
        <f>INDEX($M$93:$Z$106,MATCH($CW96,$L$93:$L$106,0),MATCH(CX$94,$M$94:$Z$94,0))/INDEX(고양시_재차인원!$D$4:$H$35,MATCH("고양시",고양시_재차인원!$B$4:$B$35,0),MATCH('A.일산테크노밸리(859991)_수정'!$CX$93,고양시_재차인원!$D$4:$H$4,0))</f>
        <v>6.0533425924232125</v>
      </c>
      <c r="CY96" s="267">
        <f>INDEX($M$93:$Z$106,MATCH($CW96,$L$93:$L$106,0),MATCH(CY$94,$M$94:$Z$94,0))/INDEX(고양시_재차인원!$K$4:$O$20,MATCH("경기도",고양시_재차인원!$K$4:$K$20,0),MATCH('A.일산테크노밸리(859991)_수정'!CY$94,고양시_재차인원!$K$4:$O$4,0))</f>
        <v>5.0072195339712427E-5</v>
      </c>
      <c r="CZ96" s="267">
        <f>INDEX($M$93:$Z$106,MATCH($CW96,$L$93:$L$106,0),MATCH(CZ$94,$M$94:$Z$94,0))/INDEX(고양시_재차인원!$K$4:$O$20,MATCH("경기도",고양시_재차인원!$K$4:$K$20,0),MATCH('A.일산테크노밸리(859991)_수정'!CZ$94,고양시_재차인원!$K$4:$O$4,0))</f>
        <v>1.3920070304440056E-2</v>
      </c>
      <c r="DA96" s="267">
        <f>INDEX($M$93:$Z$106,MATCH($CW96,$L$93:$L$106,0),MATCH(DA$94,$M$94:$Z$94,0))/INDEX(고양시_재차인원!$K$4:$O$20,MATCH("경기도",고양시_재차인원!$K$4:$K$20,0),MATCH('A.일산테크노밸리(859991)_수정'!DA$94,고양시_재차인원!$K$4:$O$4,0))</f>
        <v>0.29023780543783795</v>
      </c>
      <c r="DB96" s="268">
        <f>INDEX($AA$93:$AN$106,MATCH($CW96,$L$93:$L$106,0),MATCH(DB$94,$AA$94:$AN$94,0))/INDEX(고양시_재차인원!$D$4:$H$35,MATCH("고양시",고양시_재차인원!$B$4:$B$35,0),MATCH('A.일산테크노밸리(859991)_수정'!$DB$93,고양시_재차인원!$D$4:$H$4,0))</f>
        <v>23.729522240314164</v>
      </c>
      <c r="DC96" s="267">
        <f>INDEX($AA$93:$AN$106,MATCH($CW96,$L$93:$L$106,0),MATCH(DC$94,$AA$94:$AN$94,0))/INDEX(고양시_재차인원!$K$4:$O$20,MATCH("경기도",고양시_재차인원!$K$4:$K$20,0),MATCH('A.일산테크노밸리(859991)_수정'!DC$94,고양시_재차인원!$K$4:$O$4,0))</f>
        <v>0</v>
      </c>
      <c r="DD96" s="267">
        <f>INDEX($AA$93:$AN$106,MATCH($CW96,$L$93:$L$106,0),MATCH(DD$94,$AA$94:$AN$94,0))/INDEX(고양시_재차인원!$K$4:$O$20,MATCH("경기도",고양시_재차인원!$K$4:$K$20,0),MATCH('A.일산테크노밸리(859991)_수정'!DD$94,고양시_재차인원!$K$4:$O$4,0))</f>
        <v>0.12610918709190172</v>
      </c>
      <c r="DE96" s="267">
        <f>INDEX($AA$93:$AN$106,MATCH($CW96,$L$93:$L$106,0),MATCH(DE$94,$AA$94:$AN$94,0))/INDEX(고양시_재차인원!$K$4:$O$20,MATCH("경기도",고양시_재차인원!$K$4:$K$20,0),MATCH('A.일산테크노밸리(859991)_수정'!DE$94,고양시_재차인원!$K$4:$O$4,0))</f>
        <v>3.2133635542636845</v>
      </c>
      <c r="DF96" s="268">
        <f>INDEX($AO$93:$BB$106,MATCH($CW96,$L$93:$L$106,0),MATCH(DF$94,$AO$94:$BB$94,0))/INDEX(고양시_재차인원!$D$4:$H$35,MATCH("고양시",고양시_재차인원!$B$4:$B$35,0),MATCH('A.일산테크노밸리(859991)_수정'!$DF$93,고양시_재차인원!$D$4:$H$4,0))</f>
        <v>3.3737847241300427</v>
      </c>
      <c r="DG96" s="267">
        <f>INDEX($AO$93:$BB$106,MATCH($CW96,$L$93:$L$106,0),MATCH(DG$94,$AO$94:$BB$94,0))/INDEX(고양시_재차인원!$K$4:$O$20,MATCH("경기도",고양시_재차인원!$K$4:$K$20,0),MATCH('A.일산테크노밸리(859991)_수정'!DG$94,고양시_재차인원!$K$4:$O$4,0))</f>
        <v>1.4552299833070387E-4</v>
      </c>
      <c r="DH96" s="267">
        <f>INDEX($AO$93:$BB$106,MATCH($CW96,$L$93:$L$106,0),MATCH(DH$94,$AO$94:$BB$94,0))/INDEX(고양시_재차인원!$K$4:$O$20,MATCH("경기도",고양시_재차인원!$K$4:$K$20,0),MATCH('A.일산테크노밸리(859991)_수정'!DH$94,고양시_재차인원!$K$4:$O$4,0))</f>
        <v>5.7585529339435676E-3</v>
      </c>
      <c r="DI96" s="267">
        <f>INDEX($AO$93:$BB$106,MATCH($CW96,$L$93:$L$106,0),MATCH(DI$94,$AO$94:$BB$94,0))/INDEX(고양시_재차인원!$K$4:$O$20,MATCH("경기도",고양시_재차인원!$K$4:$K$20,0),MATCH('A.일산테크노밸리(859991)_수정'!DI$94,고양시_재차인원!$K$4:$O$4,0))</f>
        <v>0.10174760153285199</v>
      </c>
      <c r="DJ96" s="268">
        <f>INDEX($BC$93:$BP$106,MATCH($CW96,$L$93:$L$106,0),MATCH(DJ$94,$BC$94:$BP$94,0))/INDEX(고양시_재차인원!$D$4:$H$35,MATCH("고양시",고양시_재차인원!$B$4:$B$35,0),MATCH('A.일산테크노밸리(859991)_수정'!$DJ$93,고양시_재차인원!$D$4:$H$4,0))</f>
        <v>5.7270959833330155E-3</v>
      </c>
      <c r="DK96" s="267">
        <f>INDEX($BC$93:$BP$106,MATCH($CW96,$L$93:$L$106,0),MATCH(DK$94,$BC$94:$BP$94,0))/INDEX(고양시_재차인원!$K$4:$O$20,MATCH("경기도",고양시_재차인원!$K$4:$K$20,0),MATCH('A.일산테크노밸리(859991)_수정'!DK$94,고양시_재차인원!$K$4:$O$4,0))</f>
        <v>1.7347761456320566E-5</v>
      </c>
      <c r="DL96" s="267">
        <f>INDEX($BC$93:$BP$106,MATCH($CW96,$L$93:$L$106,0),MATCH(DL$94,$BC$94:$BP$94,0))/INDEX(고양시_재차인원!$K$4:$O$20,MATCH("경기도",고양시_재차인원!$K$4:$K$20,0),MATCH('A.일산테크노밸리(859991)_수정'!DL$94,고양시_재차인원!$K$4:$O$4,0))</f>
        <v>1.156517430421371E-5</v>
      </c>
      <c r="DM96" s="267">
        <f>INDEX($BC$93:$BP$106,MATCH($CW96,$L$93:$L$106,0),MATCH(DM$94,$BC$94:$BP$94,0))/INDEX(고양시_재차인원!$K$4:$O$20,MATCH("경기도",고양시_재차인원!$K$4:$K$20,0),MATCH('A.일산테크노밸리(859991)_수정'!DM$94,고양시_재차인원!$K$4:$O$4,0))</f>
        <v>4.7655487729927995E-5</v>
      </c>
      <c r="DN96" s="268">
        <f>INDEX($BQ$93:$CD$106,MATCH($CW96,$L$93:$L$106,0),MATCH(DN$94,$BQ$94:$CD$94,0))/INDEX(고양시_재차인원!$D$4:$H$35,MATCH("고양시",고양시_재차인원!$B$4:$B$35,0),MATCH('A.일산테크노밸리(859991)_수정'!$DN$93,고양시_재차인원!$D$4:$H$4,0))</f>
        <v>1.7281252052885599E-2</v>
      </c>
      <c r="DO96" s="267">
        <f>INDEX($BQ$93:$CD$106,MATCH($CW96,$L$93:$L$106,0),MATCH(DO$94,$BQ$94:$CD$94,0))/INDEX(고양시_재차인원!$K$4:$O$20,MATCH("경기도",고양시_재차인원!$K$4:$K$20,0),MATCH('A.일산테크노밸리(859991)_수정'!DO$94,고양시_재차인원!$K$4:$O$4,0))</f>
        <v>6.8991746021935231E-5</v>
      </c>
      <c r="DP96" s="267">
        <f>INDEX($BQ$93:$CD$106,MATCH($CW96,$L$93:$L$106,0),MATCH(DP$94,$BQ$94:$CD$94,0))/INDEX(고양시_재차인원!$K$4:$O$20,MATCH("경기도",고양시_재차인원!$K$4:$K$20,0),MATCH('A.일산테크노밸리(859991)_수정'!DP$94,고양시_재차인원!$K$4:$O$4,0))</f>
        <v>2.3042502651691069E-4</v>
      </c>
      <c r="DQ96" s="267">
        <f>INDEX($BQ$93:$CD$106,MATCH($CW96,$L$93:$L$106,0),MATCH(DQ$94,$BQ$94:$CD$94,0))/INDEX(고양시_재차인원!$K$4:$O$20,MATCH("경기도",고양시_재차인원!$K$4:$K$20,0),MATCH('A.일산테크노밸리(859991)_수정'!DQ$94,고양시_재차인원!$K$4:$O$4,0))</f>
        <v>1.6581880233512946E-5</v>
      </c>
      <c r="DR96" s="269">
        <f t="shared" ref="DR96:DR106" si="60">CX96+DB96+DF96+DJ96+DN96</f>
        <v>33.179657904903635</v>
      </c>
      <c r="DS96" s="270">
        <f t="shared" si="52"/>
        <v>2.8193470114867212E-4</v>
      </c>
      <c r="DT96" s="270">
        <f t="shared" si="53"/>
        <v>0.14602980053110645</v>
      </c>
      <c r="DU96" s="270">
        <f t="shared" si="54"/>
        <v>3.6054131986023377</v>
      </c>
      <c r="DW96" s="278"/>
      <c r="DX96" s="278" t="s">
        <v>590</v>
      </c>
      <c r="DY96" s="281">
        <f t="shared" ref="DY96:DY100" si="61">DR96+DU96</f>
        <v>36.78507110350597</v>
      </c>
      <c r="DZ96" s="281">
        <f t="shared" ref="DZ96:DZ100" si="62">DS96+DT96</f>
        <v>0.14631173523225513</v>
      </c>
      <c r="EC96" s="412" t="s">
        <v>13</v>
      </c>
      <c r="ED96" s="412" t="s">
        <v>76</v>
      </c>
      <c r="EE96" s="412">
        <v>3134.9627</v>
      </c>
      <c r="EF96" s="412">
        <v>0.77555789932683494</v>
      </c>
      <c r="EG96" s="413">
        <v>859003</v>
      </c>
      <c r="EH96" s="414">
        <f t="shared" si="55"/>
        <v>27.715877326182085</v>
      </c>
      <c r="EI96" s="415">
        <f t="shared" si="56"/>
        <v>0.11023923519591948</v>
      </c>
      <c r="EJ96" s="402">
        <v>0</v>
      </c>
      <c r="EM96" s="278" t="s">
        <v>13</v>
      </c>
      <c r="EN96" s="278" t="s">
        <v>76</v>
      </c>
      <c r="EO96" s="278">
        <v>3134.9627</v>
      </c>
      <c r="EP96" s="278">
        <v>0.77555789932683494</v>
      </c>
      <c r="EQ96" s="289">
        <v>859003</v>
      </c>
      <c r="ER96" s="290">
        <f t="shared" si="37"/>
        <v>27.715877326182085</v>
      </c>
      <c r="ES96" s="291">
        <f t="shared" si="38"/>
        <v>0.11023923519591948</v>
      </c>
      <c r="ET96" s="402">
        <v>0</v>
      </c>
      <c r="EV96" s="34"/>
      <c r="EW96" s="34"/>
      <c r="EX96" s="34"/>
      <c r="EY96" s="34"/>
      <c r="EZ96" s="378"/>
      <c r="FA96" s="401"/>
      <c r="FB96" s="402"/>
      <c r="FC96" s="402"/>
    </row>
    <row r="97" spans="1:159">
      <c r="A97" s="205"/>
      <c r="B97" s="205" t="s">
        <v>14</v>
      </c>
      <c r="C97" s="400">
        <f>'A.일산테크노밸리(859991)_수정'!$P30*KTDB_TripDistribution_2045!T$12 * (1+KTDB_발생량도착량_증가율!$D$8 *5) * (1+KTDB_발생량도착량_증가율!$E$8 *5) * (1+KTDB_발생량도착량_증가율!$F$8 *5) * (1+KTDB_발생량도착량_증가율!$G$8 *5)</f>
        <v>107.38715231431667</v>
      </c>
      <c r="D97" s="400">
        <f>'A.일산테크노밸리(859991)_수정'!$P30*KTDB_TripDistribution_2045!U$12 * (1+KTDB_발생량도착량_증가율!$D$8 *5) * (1+KTDB_발생량도착량_증가율!$E$8 *5) * (1+KTDB_발생량도착량_증가율!$F$8 *5) * (1+KTDB_발생량도착량_증가율!$G$8 *5)</f>
        <v>777.18279074512213</v>
      </c>
      <c r="E97" s="400">
        <f>'A.일산테크노밸리(859991)_수정'!$P30*KTDB_TripDistribution_2045!V$12 * (1+KTDB_발생량도착량_증가율!$D$8 *5) * (1+KTDB_발생량도착량_증가율!$E$8 *5) * (1+KTDB_발생량도착량_증가율!$F$8 *5) * (1+KTDB_발생량도착량_증가율!$G$8 *5)</f>
        <v>44.585053016100531</v>
      </c>
      <c r="F97" s="400">
        <f>'A.일산테크노밸리(859991)_수정'!$P30*KTDB_TripDistribution_2045!W$12 * (1+KTDB_발생량도착량_증가율!$D$8 *5) * (1+KTDB_발생량도착량_증가율!$E$8 *5) * (1+KTDB_발생량도착량_증가율!$F$8 *5) * (1+KTDB_발생량도착량_증가율!$G$8 *5)</f>
        <v>7.0065562623521135E-2</v>
      </c>
      <c r="G97" s="400">
        <f>'A.일산테크노밸리(859991)_수정'!$P30*KTDB_TripDistribution_2045!X$12 * (1+KTDB_발생량도착량_증가율!$D$8 *5) * (1+KTDB_발생량도착량_증가율!$E$8 *5) * (1+KTDB_발생량도착량_증가율!$F$8 *5) * (1+KTDB_발생량도착량_증가율!$G$8 *5)</f>
        <v>0.26469212546663518</v>
      </c>
      <c r="H97" s="400">
        <f>'A.일산테크노밸리(859991)_수정'!$P30*KTDB_TripDistribution_2045!Y$12 * (1+KTDB_발생량도착량_증가율!$D$8 *5) * (1+KTDB_발생량도착량_증가율!$E$8 *5) * (1+KTDB_발생량도착량_증가율!$F$8 *5) * (1+KTDB_발생량도착량_증가율!$G$8 *5)</f>
        <v>929.48975376362955</v>
      </c>
      <c r="J97" s="230">
        <f t="shared" si="57"/>
        <v>929.48975376362955</v>
      </c>
      <c r="K97" s="206"/>
      <c r="L97" s="209" t="s">
        <v>14</v>
      </c>
      <c r="M97" s="213">
        <f>INDEX($A$94:$H$106,MATCH($L97,$B$94:$B$106,0),MATCH($M$93,$A$94:$H$94,0))*고양시_Modal_split!C$3 * 0.01</f>
        <v>0.30068402648008663</v>
      </c>
      <c r="N97" s="213">
        <f>INDEX($A$94:$H$106,MATCH($L97,$B$94:$B$106,0),MATCH($M$93,$A$94:$H$94,0))*고양시_Modal_split!D$3 * 0.01</f>
        <v>50.504177733423134</v>
      </c>
      <c r="O97" s="213">
        <f>INDEX($A$94:$H$106,MATCH($L97,$B$94:$B$106,0),MATCH($M$93,$A$94:$H$94,0))*고양시_Modal_split!E$3 * 0.01</f>
        <v>6.1103289666846177</v>
      </c>
      <c r="P97" s="213">
        <f>INDEX($A$94:$H$106,MATCH($L97,$B$94:$B$106,0),MATCH($M$93,$A$94:$H$94,0))*고양시_Modal_split!F$3 * 0.01</f>
        <v>9.8474018672228389</v>
      </c>
      <c r="Q97" s="213">
        <f>INDEX($A$94:$H$106,MATCH($L97,$B$94:$B$106,0),MATCH($M$93,$A$94:$H$94,0))*고양시_Modal_split!G$3 * 0.01</f>
        <v>0.98796180129171318</v>
      </c>
      <c r="R97" s="213">
        <f>INDEX($A$94:$H$106,MATCH($L97,$B$94:$B$106,0),MATCH($M$93,$A$94:$H$94,0))*고양시_Modal_split!H$3 * 0.01</f>
        <v>1.0738715231431667E-2</v>
      </c>
      <c r="S97" s="213">
        <f>INDEX($A$94:$H$106,MATCH($L97,$B$94:$B$106,0),MATCH($M$93,$A$94:$H$94,0))*고양시_Modal_split!I$3 * 0.01</f>
        <v>2.985362834338003</v>
      </c>
      <c r="T97" s="213">
        <f>INDEX($A$94:$H$106,MATCH($L97,$B$94:$B$106,0),MATCH($M$93,$A$94:$H$94,0))*고양시_Modal_split!J$3 * 0.01</f>
        <v>32.688649164477994</v>
      </c>
      <c r="U97" s="213">
        <f>INDEX($A$94:$H$106,MATCH($L97,$B$94:$B$106,0),MATCH($M$93,$A$94:$H$94,0))*고양시_Modal_split!K$3 * 0.01</f>
        <v>0.161080728471475</v>
      </c>
      <c r="V97" s="213">
        <f>INDEX($A$94:$H$106,MATCH($L97,$B$94:$B$106,0),MATCH($M$93,$A$94:$H$94,0))*고양시_Modal_split!L$3 * 0.01</f>
        <v>3.2430919998923633</v>
      </c>
      <c r="W97" s="213">
        <f>INDEX($A$94:$H$106,MATCH($L97,$B$94:$B$106,0),MATCH($M$93,$A$94:$H$94,0))*고양시_Modal_split!M$3 * 0.01</f>
        <v>0.2469904503229283</v>
      </c>
      <c r="X97" s="213">
        <f>INDEX($A$94:$H$106,MATCH($L97,$B$94:$B$106,0),MATCH($M$93,$A$94:$H$94,0))*고양시_Modal_split!N$3 * 0.01</f>
        <v>0.10738715231431668</v>
      </c>
      <c r="Y97" s="213">
        <f>INDEX($A$94:$H$106,MATCH($L97,$B$94:$B$106,0),MATCH($M$93,$A$94:$H$94,0))*고양시_Modal_split!O$3 * 0.01</f>
        <v>0.19329687416576999</v>
      </c>
      <c r="Z97" s="213">
        <f>INDEX($A$94:$H$106,MATCH($L97,$B$94:$B$106,0),MATCH($M$93,$A$94:$H$94,0))*고양시_Modal_split!P$3 * 0.01</f>
        <v>107.38715231431667</v>
      </c>
      <c r="AA97" s="213">
        <f>INDEX($A$94:$H$106,MATCH($L97,$B$94:$B$106,0),MATCH($AA$93,$A$94:$H$94,0))*고양시_Modal_split!C$4 * 0.01</f>
        <v>236.57444150281518</v>
      </c>
      <c r="AB97" s="213">
        <f>INDEX($A$94:$H$106,MATCH($L97,$B$94:$B$106,0),MATCH($AA$93,$A$94:$H$94,0))*고양시_Modal_split!D$4 * 0.01</f>
        <v>249.24252099196067</v>
      </c>
      <c r="AC97" s="213">
        <f>INDEX($A$94:$H$106,MATCH($L97,$B$94:$B$106,0),MATCH($AA$93,$A$94:$H$94,0))*고양시_Modal_split!E$4 * 0.01</f>
        <v>60.387102840895999</v>
      </c>
      <c r="AD97" s="213">
        <f>INDEX($A$94:$H$106,MATCH($L97,$B$94:$B$106,0),MATCH($AA$93,$A$94:$H$94,0))*고양시_Modal_split!F$4 * 0.01</f>
        <v>7.3832365120786596</v>
      </c>
      <c r="AE97" s="213">
        <f>INDEX($A$94:$H$106,MATCH($L97,$B$94:$B$106,0),MATCH($AA$93,$A$94:$H$94,0))*고양시_Modal_split!G$4 * 0.01</f>
        <v>91.008104796253789</v>
      </c>
      <c r="AF97" s="213">
        <f>INDEX($A$94:$H$106,MATCH($L97,$B$94:$B$106,0),MATCH($AA$93,$A$94:$H$94,0))*고양시_Modal_split!H$4 * 0.01</f>
        <v>0</v>
      </c>
      <c r="AG97" s="213">
        <f>INDEX($A$94:$H$106,MATCH($L97,$B$94:$B$106,0),MATCH($AA$93,$A$94:$H$94,0))*고양시_Modal_split!I$4 * 0.01</f>
        <v>27.045961117930247</v>
      </c>
      <c r="AH97" s="213">
        <f>INDEX($A$94:$H$106,MATCH($L97,$B$94:$B$106,0),MATCH($AA$93,$A$94:$H$94,0))*고양시_Modal_split!J$4 * 0.01</f>
        <v>36.605309444095255</v>
      </c>
      <c r="AI97" s="213">
        <f>INDEX($A$94:$H$106,MATCH($L97,$B$94:$B$106,0),MATCH($AA$93,$A$94:$H$94,0))*고양시_Modal_split!K$4 * 0.01</f>
        <v>0</v>
      </c>
      <c r="AJ97" s="213">
        <f>INDEX($A$94:$H$106,MATCH($L97,$B$94:$B$106,0),MATCH($AA$93,$A$94:$H$94,0))*고양시_Modal_split!L$4 * 0.01</f>
        <v>35.905844932424642</v>
      </c>
      <c r="AK97" s="213">
        <f>INDEX($A$94:$H$106,MATCH($L97,$B$94:$B$106,0),MATCH($AA$93,$A$94:$H$94,0))*고양시_Modal_split!M$4 * 0.01</f>
        <v>5.2071246979923185</v>
      </c>
      <c r="AL97" s="213">
        <f>INDEX($A$94:$H$106,MATCH($L97,$B$94:$B$106,0),MATCH($AA$93,$A$94:$H$94,0))*고양시_Modal_split!N$4 * 0.01</f>
        <v>19.429569768628053</v>
      </c>
      <c r="AM97" s="213">
        <f>INDEX($A$94:$H$106,MATCH($L97,$B$94:$B$106,0),MATCH($AA$93,$A$94:$H$94,0))*고양시_Modal_split!O$4 * 0.01</f>
        <v>8.3935741400473187</v>
      </c>
      <c r="AN97" s="213">
        <f>INDEX($A$94:$H$106,MATCH($L97,$B$94:$B$106,0),MATCH($AA$93,$A$94:$H$94,0))*고양시_Modal_split!P$4 * 0.01</f>
        <v>777.18279074512225</v>
      </c>
      <c r="AO97" s="213">
        <f>INDEX($A$94:$H$106,MATCH($L97,$B$94:$B$106,0),MATCH($AO$93,$A$94:$H$94,0))*고양시_Modal_split!C$5 * 0.01</f>
        <v>2.6751031809660319E-2</v>
      </c>
      <c r="AP97" s="213">
        <f>INDEX($A$94:$H$106,MATCH($L97,$B$94:$B$106,0),MATCH($AO$93,$A$94:$H$94,0))*고양시_Modal_split!D$5 * 0.01</f>
        <v>32.671926850198467</v>
      </c>
      <c r="AQ97" s="213">
        <f>INDEX($A$94:$H$106,MATCH($L97,$B$94:$B$106,0),MATCH($AO$93,$A$94:$H$94,0))*고양시_Modal_split!E$5 * 0.01</f>
        <v>4.3916277220859028</v>
      </c>
      <c r="AR97" s="213">
        <f>INDEX($A$94:$H$106,MATCH($L97,$B$94:$B$106,0),MATCH($AO$93,$A$94:$H$94,0))*고양시_Modal_split!F$5 * 0.01</f>
        <v>0.93628611333811129</v>
      </c>
      <c r="AS97" s="213">
        <f>INDEX($A$94:$H$106,MATCH($L97,$B$94:$B$106,0),MATCH($AO$93,$A$94:$H$94,0))*고양시_Modal_split!G$5 * 0.01</f>
        <v>0.28980284460465344</v>
      </c>
      <c r="AT97" s="213">
        <f>INDEX($A$94:$H$106,MATCH($L97,$B$94:$B$106,0),MATCH($AO$93,$A$94:$H$94,0))*고양시_Modal_split!H$5 * 0.01</f>
        <v>3.120953711127037E-2</v>
      </c>
      <c r="AU97" s="213">
        <f>INDEX($A$94:$H$106,MATCH($L97,$B$94:$B$106,0),MATCH($AO$93,$A$94:$H$94,0))*고양시_Modal_split!I$5 * 0.01</f>
        <v>1.2350059685459847</v>
      </c>
      <c r="AV97" s="213">
        <f>INDEX($A$94:$H$106,MATCH($L97,$B$94:$B$106,0),MATCH($AO$93,$A$94:$H$94,0))*고양시_Modal_split!J$5 * 0.01</f>
        <v>2.7954828241095031</v>
      </c>
      <c r="AW97" s="213">
        <f>INDEX($A$94:$H$106,MATCH($L97,$B$94:$B$106,0),MATCH($AO$93,$A$94:$H$94,0))*고양시_Modal_split!K$5 * 0.01</f>
        <v>8.9170106032201071E-3</v>
      </c>
      <c r="AX97" s="213">
        <f>INDEX($A$94:$H$106,MATCH($L97,$B$94:$B$106,0),MATCH($AO$93,$A$94:$H$94,0))*고양시_Modal_split!L$5 * 0.01</f>
        <v>1.1369188519105635</v>
      </c>
      <c r="AY97" s="213">
        <f>INDEX($A$94:$H$106,MATCH($L97,$B$94:$B$106,0),MATCH($AO$93,$A$94:$H$94,0))*고양시_Modal_split!M$5 * 0.01</f>
        <v>0.29871985520787359</v>
      </c>
      <c r="AZ97" s="213">
        <f>INDEX($A$94:$H$106,MATCH($L97,$B$94:$B$106,0),MATCH($AO$93,$A$94:$H$94,0))*고양시_Modal_split!N$5 * 0.01</f>
        <v>7.5794590127370901E-2</v>
      </c>
      <c r="BA97" s="213">
        <f>INDEX($A$94:$H$106,MATCH($L97,$B$94:$B$106,0),MATCH($AO$93,$A$94:$H$94,0))*고양시_Modal_split!O$5 * 0.01</f>
        <v>0.68660981644794816</v>
      </c>
      <c r="BB97" s="213">
        <f>INDEX($A$94:$H$106,MATCH($L97,$B$94:$B$106,0),MATCH($AO$93,$A$94:$H$94,0))*고양시_Modal_split!P$5 * 0.01</f>
        <v>44.585053016100531</v>
      </c>
      <c r="BC97" s="213">
        <f>INDEX($A$94:$H$106,MATCH($L97,$B$94:$B$106,0),MATCH($BC$93,$A$94:$H$94,0))*고양시_Modal_split!C$6 * 0.01</f>
        <v>0</v>
      </c>
      <c r="BD97" s="207">
        <f>INDEX($A$94:$H$106,MATCH($L97,$B$94:$B$106,0),MATCH($BC$93,$A$94:$H$94,0))*고양시_Modal_split!D$6 * 0.01</f>
        <v>5.8021292408537851E-2</v>
      </c>
      <c r="BE97" s="207">
        <f>INDEX($A$94:$H$106,MATCH($L97,$B$94:$B$106,0),MATCH($BC$93,$A$94:$H$94,0))*고양시_Modal_split!E$6 * 0.01</f>
        <v>3.0128191928114088E-4</v>
      </c>
      <c r="BF97" s="207">
        <f>INDEX($A$94:$H$106,MATCH($L97,$B$94:$B$106,0),MATCH($BC$93,$A$94:$H$94,0))*고양시_Modal_split!F$6 * 0.01</f>
        <v>8.5479986400695794E-4</v>
      </c>
      <c r="BG97" s="207">
        <f>INDEX($A$94:$H$106,MATCH($L97,$B$94:$B$106,0),MATCH($BC$93,$A$94:$H$94,0))*고양시_Modal_split!G$6 * 0.01</f>
        <v>0</v>
      </c>
      <c r="BH97" s="207">
        <f>INDEX($A$94:$H$106,MATCH($L97,$B$94:$B$106,0),MATCH($BC$93,$A$94:$H$94,0))*고양시_Modal_split!H$6 * 0.01</f>
        <v>3.7204813753089726E-3</v>
      </c>
      <c r="BI97" s="207">
        <f>INDEX($A$94:$H$106,MATCH($L97,$B$94:$B$106,0),MATCH($BC$93,$A$94:$H$94,0))*고양시_Modal_split!I$6 * 0.01</f>
        <v>2.480320916872648E-3</v>
      </c>
      <c r="BJ97" s="207">
        <f>INDEX($A$94:$H$106,MATCH($L97,$B$94:$B$106,0),MATCH($BC$93,$A$94:$H$94,0))*고양시_Modal_split!J$6 * 0.01</f>
        <v>3.4612387936019439E-3</v>
      </c>
      <c r="BK97" s="207">
        <f>INDEX($A$94:$H$106,MATCH($L97,$B$94:$B$106,0),MATCH($BC$93,$A$94:$H$94,0))*고양시_Modal_split!K$6 * 0.01</f>
        <v>0</v>
      </c>
      <c r="BL97" s="207">
        <f>INDEX($A$94:$H$106,MATCH($L97,$B$94:$B$106,0),MATCH($BC$93,$A$94:$H$94,0))*고양시_Modal_split!L$6 * 0.01</f>
        <v>5.3249827593876062E-4</v>
      </c>
      <c r="BM97" s="207">
        <f>INDEX($A$94:$H$106,MATCH($L97,$B$94:$B$106,0),MATCH($BC$93,$A$94:$H$94,0))*고양시_Modal_split!M$6 * 0.01</f>
        <v>6.3759661987404243E-4</v>
      </c>
      <c r="BN97" s="207">
        <f>INDEX($A$94:$H$106,MATCH($L97,$B$94:$B$106,0),MATCH($BC$93,$A$94:$H$94,0))*고양시_Modal_split!N$6 * 0.01</f>
        <v>0</v>
      </c>
      <c r="BO97" s="207">
        <f>INDEX($A$94:$H$106,MATCH($L97,$B$94:$B$106,0),MATCH($BC$93,$A$94:$H$94,0))*고양시_Modal_split!O$6 * 0.01</f>
        <v>5.6052450098816912E-5</v>
      </c>
      <c r="BP97" s="214">
        <f>INDEX($A$94:$H$106,MATCH($L97,$B$94:$B$106,0),MATCH($BC$93,$A$94:$H$94,0))*고양시_Modal_split!P$6 * 0.01</f>
        <v>7.0065562623521135E-2</v>
      </c>
      <c r="BQ97" s="213">
        <f>INDEX($A$94:$H$106,MATCH($L97,$B$94:$B$106,0),MATCH($BQ$93,$A$94:$H$94,0))*고양시_Modal_split!C$7 * 0.01</f>
        <v>0</v>
      </c>
      <c r="BR97" s="213">
        <f>INDEX($A$94:$H$106,MATCH($L97,$B$94:$B$106,0),MATCH($BQ$93,$A$94:$H$94,0))*고양시_Modal_split!D$7 * 0.01</f>
        <v>0.16220333448595406</v>
      </c>
      <c r="BS97" s="213">
        <f>INDEX($A$94:$H$106,MATCH($L97,$B$94:$B$106,0),MATCH($BQ$93,$A$94:$H$94,0))*고양시_Modal_split!E$7 * 0.01</f>
        <v>7.9142945514523912E-3</v>
      </c>
      <c r="BT97" s="213">
        <f>INDEX($A$94:$H$106,MATCH($L97,$B$94:$B$106,0),MATCH($BQ$93,$A$94:$H$94,0))*고양시_Modal_split!F$7 * 0.01</f>
        <v>2.6469212546663518E-3</v>
      </c>
      <c r="BU97" s="213">
        <f>INDEX($A$94:$H$106,MATCH($L97,$B$94:$B$106,0),MATCH($BQ$93,$A$94:$H$94,0))*고양시_Modal_split!G$7 * 0.01</f>
        <v>1.1117069269598677E-3</v>
      </c>
      <c r="BV97" s="213">
        <f>INDEX($A$94:$H$106,MATCH($L97,$B$94:$B$106,0),MATCH($BQ$93,$A$94:$H$94,0))*고양시_Modal_split!H$7 * 0.01</f>
        <v>1.4796289813584907E-2</v>
      </c>
      <c r="BW97" s="213">
        <f>INDEX($A$94:$H$106,MATCH($L97,$B$94:$B$106,0),MATCH($BQ$93,$A$94:$H$94,0))*고양시_Modal_split!I$7 * 0.01</f>
        <v>4.9418019824620796E-2</v>
      </c>
      <c r="BX97" s="213">
        <f>INDEX($A$94:$H$106,MATCH($L97,$B$94:$B$106,0),MATCH($BQ$93,$A$94:$H$94,0))*고양시_Modal_split!J$7 * 0.01</f>
        <v>5.2938425093327035E-5</v>
      </c>
      <c r="BY97" s="213">
        <f>INDEX($A$94:$H$106,MATCH($L97,$B$94:$B$106,0),MATCH($BQ$93,$A$94:$H$94,0))*고양시_Modal_split!K$7 * 0.01</f>
        <v>2.0381293660930912E-2</v>
      </c>
      <c r="BZ97" s="213">
        <f>INDEX($A$94:$H$106,MATCH($L97,$B$94:$B$106,0),MATCH($BQ$93,$A$94:$H$94,0))*고양시_Modal_split!L$7 * 0.01</f>
        <v>1.8528448782664461E-4</v>
      </c>
      <c r="CA97" s="213">
        <f>INDEX($A$94:$H$106,MATCH($L97,$B$94:$B$106,0),MATCH($BQ$93,$A$94:$H$94,0))*고양시_Modal_split!M$7 * 0.01</f>
        <v>4.9497427462260784E-3</v>
      </c>
      <c r="CB97" s="213">
        <f>INDEX($A$94:$H$106,MATCH($L97,$B$94:$B$106,0),MATCH($BQ$93,$A$94:$H$94,0))*고양시_Modal_split!N$7 * 0.01</f>
        <v>1.0322992893198771E-3</v>
      </c>
      <c r="CC97" s="213">
        <f>INDEX($A$94:$H$106,MATCH($L97,$B$94:$B$106,0),MATCH($BQ$93,$A$94:$H$94,0))*고양시_Modal_split!O$7 * 0.01</f>
        <v>0</v>
      </c>
      <c r="CD97" s="213">
        <f>INDEX($A$94:$H$106,MATCH($L97,$B$94:$B$106,0),MATCH($BQ$93,$A$94:$H$94,0))*고양시_Modal_split!P$7 * 0.01</f>
        <v>0.26469212546663518</v>
      </c>
      <c r="CE97" s="218">
        <f t="shared" si="58"/>
        <v>236.90187656110493</v>
      </c>
      <c r="CF97" s="208">
        <f t="shared" si="39"/>
        <v>332.63885020247676</v>
      </c>
      <c r="CG97" s="208">
        <f t="shared" si="40"/>
        <v>70.897275106137243</v>
      </c>
      <c r="CH97" s="208">
        <f t="shared" si="41"/>
        <v>18.170426213758283</v>
      </c>
      <c r="CI97" s="208">
        <f t="shared" si="42"/>
        <v>92.286981149077121</v>
      </c>
      <c r="CJ97" s="208">
        <f t="shared" si="43"/>
        <v>6.046502353159592E-2</v>
      </c>
      <c r="CK97" s="208">
        <f t="shared" si="44"/>
        <v>31.318228261555728</v>
      </c>
      <c r="CL97" s="208">
        <f t="shared" si="45"/>
        <v>72.092955609901452</v>
      </c>
      <c r="CM97" s="208">
        <f t="shared" si="46"/>
        <v>0.19037903273562604</v>
      </c>
      <c r="CN97" s="208">
        <f t="shared" si="47"/>
        <v>40.286573566991336</v>
      </c>
      <c r="CO97" s="208">
        <f t="shared" si="48"/>
        <v>5.7584223428892205</v>
      </c>
      <c r="CP97" s="208">
        <f t="shared" si="49"/>
        <v>19.61378381035906</v>
      </c>
      <c r="CQ97" s="208">
        <f t="shared" si="50"/>
        <v>9.2735368831111344</v>
      </c>
      <c r="CR97" s="219">
        <f t="shared" si="51"/>
        <v>929.48975376362955</v>
      </c>
      <c r="CS97" s="225">
        <f t="shared" si="59"/>
        <v>0</v>
      </c>
      <c r="CV97" s="265"/>
      <c r="CW97" s="266" t="s">
        <v>14</v>
      </c>
      <c r="CX97" s="267">
        <f>INDEX($M$93:$Z$106,MATCH($CW97,$L$93:$L$106,0),MATCH(CX$94,$M$94:$Z$94,0))/INDEX(고양시_재차인원!$D$4:$H$35,MATCH("고양시",고양시_재차인원!$B$4:$B$35,0),MATCH('A.일산테크노밸리(859991)_수정'!$CX$93,고양시_재차인원!$D$4:$H$4,0))</f>
        <v>45.09301583341351</v>
      </c>
      <c r="CY97" s="267">
        <f>INDEX($M$93:$Z$106,MATCH($CW97,$L$93:$L$106,0),MATCH(CY$94,$M$94:$Z$94,0))/INDEX(고양시_재차인원!$K$4:$O$20,MATCH("경기도",고양시_재차인원!$K$4:$K$20,0),MATCH('A.일산테크노밸리(859991)_수정'!CY$94,고양시_재차인원!$K$4:$O$4,0))</f>
        <v>3.7300157108133611E-4</v>
      </c>
      <c r="CZ97" s="267">
        <f>INDEX($M$93:$Z$106,MATCH($CW97,$L$93:$L$106,0),MATCH(CZ$94,$M$94:$Z$94,0))/INDEX(고양시_재차인원!$K$4:$O$20,MATCH("경기도",고양시_재차인원!$K$4:$K$20,0),MATCH('A.일산테크노밸리(859991)_수정'!CZ$94,고양시_재차인원!$K$4:$O$4,0))</f>
        <v>0.10369443676061144</v>
      </c>
      <c r="DA97" s="267">
        <f>INDEX($M$93:$Z$106,MATCH($CW97,$L$93:$L$106,0),MATCH(DA$94,$M$94:$Z$94,0))/INDEX(고양시_재차인원!$K$4:$O$20,MATCH("경기도",고양시_재차인원!$K$4:$K$20,0),MATCH('A.일산테크노밸리(859991)_수정'!DA$94,고양시_재차인원!$K$4:$O$4,0))</f>
        <v>2.1620613332615757</v>
      </c>
      <c r="DB97" s="268">
        <f>INDEX($AA$93:$AN$106,MATCH($CW97,$L$93:$L$106,0),MATCH(DB$94,$AA$94:$AN$94,0))/INDEX(고양시_재차인원!$D$4:$H$35,MATCH("고양시",고양시_재차인원!$B$4:$B$35,0),MATCH('A.일산테크노밸리(859991)_수정'!$DB$93,고양시_재차인원!$D$4:$H$4,0))</f>
        <v>176.76774538436928</v>
      </c>
      <c r="DC97" s="267">
        <f>INDEX($AA$93:$AN$106,MATCH($CW97,$L$93:$L$106,0),MATCH(DC$94,$AA$94:$AN$94,0))/INDEX(고양시_재차인원!$K$4:$O$20,MATCH("경기도",고양시_재차인원!$K$4:$K$20,0),MATCH('A.일산테크노밸리(859991)_수정'!DC$94,고양시_재차인원!$K$4:$O$4,0))</f>
        <v>0</v>
      </c>
      <c r="DD97" s="267">
        <f>INDEX($AA$93:$AN$106,MATCH($CW97,$L$93:$L$106,0),MATCH(DD$94,$AA$94:$AN$94,0))/INDEX(고양시_재차인원!$K$4:$O$20,MATCH("경기도",고양시_재차인원!$K$4:$K$20,0),MATCH('A.일산테크노밸리(859991)_수정'!DD$94,고양시_재차인원!$K$4:$O$4,0))</f>
        <v>0.93942206036576059</v>
      </c>
      <c r="DE97" s="267">
        <f>INDEX($AA$93:$AN$106,MATCH($CW97,$L$93:$L$106,0),MATCH(DE$94,$AA$94:$AN$94,0))/INDEX(고양시_재차인원!$K$4:$O$20,MATCH("경기도",고양시_재차인원!$K$4:$K$20,0),MATCH('A.일산테크노밸리(859991)_수정'!DE$94,고양시_재차인원!$K$4:$O$4,0))</f>
        <v>23.93722995494976</v>
      </c>
      <c r="DF97" s="268">
        <f>INDEX($AO$93:$BB$106,MATCH($CW97,$L$93:$L$106,0),MATCH(DF$94,$AO$94:$BB$94,0))/INDEX(고양시_재차인원!$D$4:$H$35,MATCH("고양시",고양시_재차인원!$B$4:$B$35,0),MATCH('A.일산테크노밸리(859991)_수정'!$DF$93,고양시_재차인원!$D$4:$H$4,0))</f>
        <v>25.13225142322959</v>
      </c>
      <c r="DG97" s="267">
        <f>INDEX($AO$93:$BB$106,MATCH($CW97,$L$93:$L$106,0),MATCH(DG$94,$AO$94:$BB$94,0))/INDEX(고양시_재차인원!$K$4:$O$20,MATCH("경기도",고양시_재차인원!$K$4:$K$20,0),MATCH('A.일산테크노밸리(859991)_수정'!DG$94,고양시_재차인원!$K$4:$O$4,0))</f>
        <v>1.0840408861156781E-3</v>
      </c>
      <c r="DH97" s="267">
        <f>INDEX($AO$93:$BB$106,MATCH($CW97,$L$93:$L$106,0),MATCH(DH$94,$AO$94:$BB$94,0))/INDEX(고양시_재차인원!$K$4:$O$20,MATCH("경기도",고양시_재차인원!$K$4:$K$20,0),MATCH('A.일산테크노밸리(859991)_수정'!DH$94,고양시_재차인원!$K$4:$O$4,0))</f>
        <v>4.289704649343469E-2</v>
      </c>
      <c r="DI97" s="267">
        <f>INDEX($AO$93:$BB$106,MATCH($CW97,$L$93:$L$106,0),MATCH(DI$94,$AO$94:$BB$94,0))/INDEX(고양시_재차인원!$K$4:$O$20,MATCH("경기도",고양시_재차인원!$K$4:$K$20,0),MATCH('A.일산테크노밸리(859991)_수정'!DI$94,고양시_재차인원!$K$4:$O$4,0))</f>
        <v>0.75794590127370898</v>
      </c>
      <c r="DJ97" s="268">
        <f>INDEX($BC$93:$BP$106,MATCH($CW97,$L$93:$L$106,0),MATCH(DJ$94,$BC$94:$BP$94,0))/INDEX(고양시_재차인원!$D$4:$H$35,MATCH("고양시",고양시_재차인원!$B$4:$B$35,0),MATCH('A.일산테크노밸리(859991)_수정'!$DJ$93,고양시_재차인원!$D$4:$H$4,0))</f>
        <v>4.2662715006277829E-2</v>
      </c>
      <c r="DK97" s="267">
        <f>INDEX($BC$93:$BP$106,MATCH($CW97,$L$93:$L$106,0),MATCH(DK$94,$BC$94:$BP$94,0))/INDEX(고양시_재차인원!$K$4:$O$20,MATCH("경기도",고양시_재차인원!$K$4:$K$20,0),MATCH('A.일산테크노밸리(859991)_수정'!DK$94,고양시_재차인원!$K$4:$O$4,0))</f>
        <v>1.2922825200795319E-4</v>
      </c>
      <c r="DL97" s="267">
        <f>INDEX($BC$93:$BP$106,MATCH($CW97,$L$93:$L$106,0),MATCH(DL$94,$BC$94:$BP$94,0))/INDEX(고양시_재차인원!$K$4:$O$20,MATCH("경기도",고양시_재차인원!$K$4:$K$20,0),MATCH('A.일산테크노밸리(859991)_수정'!DL$94,고양시_재차인원!$K$4:$O$4,0))</f>
        <v>8.6152168005302119E-5</v>
      </c>
      <c r="DM97" s="267">
        <f>INDEX($BC$93:$BP$106,MATCH($CW97,$L$93:$L$106,0),MATCH(DM$94,$BC$94:$BP$94,0))/INDEX(고양시_재차인원!$K$4:$O$20,MATCH("경기도",고양시_재차인원!$K$4:$K$20,0),MATCH('A.일산테크노밸리(859991)_수정'!DM$94,고양시_재차인원!$K$4:$O$4,0))</f>
        <v>3.5499885062584041E-4</v>
      </c>
      <c r="DN97" s="268">
        <f>INDEX($BQ$93:$CD$106,MATCH($CW97,$L$93:$L$106,0),MATCH(DN$94,$BQ$94:$CD$94,0))/INDEX(고양시_재차인원!$D$4:$H$35,MATCH("고양시",고양시_재차인원!$B$4:$B$35,0),MATCH('A.일산테크노밸리(859991)_수정'!$DN$93,고양시_재차인원!$D$4:$H$4,0))</f>
        <v>0.12873280514758259</v>
      </c>
      <c r="DO97" s="267">
        <f>INDEX($BQ$93:$CD$106,MATCH($CW97,$L$93:$L$106,0),MATCH(DO$94,$BQ$94:$CD$94,0))/INDEX(고양시_재차인원!$K$4:$O$20,MATCH("경기도",고양시_재차인원!$K$4:$K$20,0),MATCH('A.일산테크노밸리(859991)_수정'!DO$94,고양시_재차인원!$K$4:$O$4,0))</f>
        <v>5.1393851384456089E-4</v>
      </c>
      <c r="DP97" s="267">
        <f>INDEX($BQ$93:$CD$106,MATCH($CW97,$L$93:$L$106,0),MATCH(DP$94,$BQ$94:$CD$94,0))/INDEX(고양시_재차인원!$K$4:$O$20,MATCH("경기도",고양시_재차인원!$K$4:$K$20,0),MATCH('A.일산테크노밸리(859991)_수정'!DP$94,고양시_재차인원!$K$4:$O$4,0))</f>
        <v>1.7164994728940881E-3</v>
      </c>
      <c r="DQ97" s="267">
        <f>INDEX($BQ$93:$CD$106,MATCH($CW97,$L$93:$L$106,0),MATCH(DQ$94,$BQ$94:$CD$94,0))/INDEX(고양시_재차인원!$K$4:$O$20,MATCH("경기도",고양시_재차인원!$K$4:$K$20,0),MATCH('A.일산테크노밸리(859991)_수정'!DQ$94,고양시_재차인원!$K$4:$O$4,0))</f>
        <v>1.2352299188442975E-4</v>
      </c>
      <c r="DR97" s="269">
        <f t="shared" si="60"/>
        <v>247.16440816116628</v>
      </c>
      <c r="DS97" s="270">
        <f t="shared" si="52"/>
        <v>2.1002092230495281E-3</v>
      </c>
      <c r="DT97" s="270">
        <f t="shared" si="53"/>
        <v>1.0878161952607059</v>
      </c>
      <c r="DU97" s="270">
        <f t="shared" si="54"/>
        <v>26.857715711327554</v>
      </c>
      <c r="DW97" s="278"/>
      <c r="DX97" s="278" t="s">
        <v>591</v>
      </c>
      <c r="DY97" s="281">
        <f t="shared" si="61"/>
        <v>274.02212387249381</v>
      </c>
      <c r="DZ97" s="281">
        <f t="shared" si="62"/>
        <v>1.0899164044837555</v>
      </c>
      <c r="EC97" s="412" t="s">
        <v>14</v>
      </c>
      <c r="ED97" s="412" t="s">
        <v>569</v>
      </c>
      <c r="EE97" s="412">
        <v>5454.9395000000004</v>
      </c>
      <c r="EF97" s="412">
        <v>0.43129277327301779</v>
      </c>
      <c r="EG97" s="413">
        <v>859004</v>
      </c>
      <c r="EH97" s="414">
        <f t="shared" si="55"/>
        <v>114.81552453345105</v>
      </c>
      <c r="EI97" s="415">
        <f t="shared" si="56"/>
        <v>0.45667598626687678</v>
      </c>
      <c r="EJ97" s="402">
        <v>0</v>
      </c>
      <c r="EM97" s="278" t="s">
        <v>14</v>
      </c>
      <c r="EN97" s="278" t="s">
        <v>569</v>
      </c>
      <c r="EO97" s="278">
        <v>5454.9395000000004</v>
      </c>
      <c r="EP97" s="278">
        <v>0.43129277327301779</v>
      </c>
      <c r="EQ97" s="289">
        <v>859004</v>
      </c>
      <c r="ER97" s="290">
        <f t="shared" si="37"/>
        <v>114.81552453345105</v>
      </c>
      <c r="ES97" s="291">
        <f t="shared" si="38"/>
        <v>0.45667598626687678</v>
      </c>
      <c r="ET97" s="402">
        <v>0</v>
      </c>
      <c r="EV97" s="34"/>
      <c r="EW97" s="34"/>
      <c r="EX97" s="34"/>
      <c r="EY97" s="34"/>
      <c r="EZ97" s="378"/>
      <c r="FA97" s="401"/>
      <c r="FB97" s="402"/>
      <c r="FC97" s="402"/>
    </row>
    <row r="98" spans="1:159" ht="16.5" customHeight="1">
      <c r="A98" s="205"/>
      <c r="B98" s="205" t="s">
        <v>15</v>
      </c>
      <c r="C98" s="400">
        <f>'A.일산테크노밸리(859991)_수정'!$P31*KTDB_TripDistribution_2045!T$12 * (1+KTDB_발생량도착량_증가율!$D$8 *5) * (1+KTDB_발생량도착량_증가율!$E$8 *5) * (1+KTDB_발생량도착량_증가율!$F$8 *5) * (1+KTDB_발생량도착량_증가율!$G$8 *5)</f>
        <v>3030.1353377250816</v>
      </c>
      <c r="D98" s="400">
        <f>'A.일산테크노밸리(859991)_수정'!$P31*KTDB_TripDistribution_2045!U$12 * (1+KTDB_발생량도착량_증가율!$D$8 *5) * (1+KTDB_발생량도착량_증가율!$E$8 *5) * (1+KTDB_발생량도착량_증가율!$F$8 *5) * (1+KTDB_발생량도착량_증가율!$G$8 *5)</f>
        <v>21929.709349361638</v>
      </c>
      <c r="E98" s="400">
        <f>'A.일산테크노밸리(859991)_수정'!$P31*KTDB_TripDistribution_2045!V$12 * (1+KTDB_발생량도착량_증가율!$D$8 *5) * (1+KTDB_발생량도착량_증가율!$E$8 *5) * (1+KTDB_발생량도착량_증가율!$F$8 *5) * (1+KTDB_발생량도착량_증가율!$G$8 *5)</f>
        <v>1258.053144784074</v>
      </c>
      <c r="F98" s="400">
        <f>'A.일산테크노밸리(859991)_수정'!$P31*KTDB_TripDistribution_2045!W$12 * (1+KTDB_발생량도착량_증가율!$D$8 *5) * (1+KTDB_발생량도착량_증가율!$E$8 *5) * (1+KTDB_발생량도착량_증가율!$F$8 *5) * (1+KTDB_발생량도착량_증가율!$G$8 *5)</f>
        <v>1.9770348006035772</v>
      </c>
      <c r="G98" s="400">
        <f>'A.일산테크노밸리(859991)_수정'!$P31*KTDB_TripDistribution_2045!X$12 * (1+KTDB_발생량도착량_증가율!$D$8 *5) * (1+KTDB_발생량도착량_증가율!$E$8 *5) * (1+KTDB_발생량도착량_증가율!$F$8 *5) * (1+KTDB_발생량도착량_증가율!$G$8 *5)</f>
        <v>7.4687981356135076</v>
      </c>
      <c r="H98" s="400">
        <f>'A.일산테크노밸리(859991)_수정'!$P31*KTDB_TripDistribution_2045!Y$12 * (1+KTDB_발생량도착량_증가율!$D$8 *5) * (1+KTDB_발생량도착량_증가율!$E$8 *5) * (1+KTDB_발생량도착량_증가율!$F$8 *5) * (1+KTDB_발생량도착량_증가율!$G$8 *5)</f>
        <v>26227.343664807009</v>
      </c>
      <c r="J98" s="230">
        <f t="shared" si="57"/>
        <v>26227.343664807013</v>
      </c>
      <c r="K98" s="206"/>
      <c r="L98" s="209" t="s">
        <v>15</v>
      </c>
      <c r="M98" s="213">
        <f>INDEX($A$94:$H$106,MATCH($L98,$B$94:$B$106,0),MATCH($M$93,$A$94:$H$94,0))*고양시_Modal_split!C$3 * 0.01</f>
        <v>8.4843789456302279</v>
      </c>
      <c r="N98" s="213">
        <f>INDEX($A$94:$H$106,MATCH($L98,$B$94:$B$106,0),MATCH($M$93,$A$94:$H$94,0))*고양시_Modal_split!D$3 * 0.01</f>
        <v>1425.072649332106</v>
      </c>
      <c r="O98" s="213">
        <f>INDEX($A$94:$H$106,MATCH($L98,$B$94:$B$106,0),MATCH($M$93,$A$94:$H$94,0))*고양시_Modal_split!E$3 * 0.01</f>
        <v>172.41470071655712</v>
      </c>
      <c r="P98" s="213">
        <f>INDEX($A$94:$H$106,MATCH($L98,$B$94:$B$106,0),MATCH($M$93,$A$94:$H$94,0))*고양시_Modal_split!F$3 * 0.01</f>
        <v>277.86341046939003</v>
      </c>
      <c r="Q98" s="213">
        <f>INDEX($A$94:$H$106,MATCH($L98,$B$94:$B$106,0),MATCH($M$93,$A$94:$H$94,0))*고양시_Modal_split!G$3 * 0.01</f>
        <v>27.877245107070749</v>
      </c>
      <c r="R98" s="213">
        <f>INDEX($A$94:$H$106,MATCH($L98,$B$94:$B$106,0),MATCH($M$93,$A$94:$H$94,0))*고양시_Modal_split!H$3 * 0.01</f>
        <v>0.30301353377250817</v>
      </c>
      <c r="S98" s="213">
        <f>INDEX($A$94:$H$106,MATCH($L98,$B$94:$B$106,0),MATCH($M$93,$A$94:$H$94,0))*고양시_Modal_split!I$3 * 0.01</f>
        <v>84.237762388757261</v>
      </c>
      <c r="T98" s="213">
        <f>INDEX($A$94:$H$106,MATCH($L98,$B$94:$B$106,0),MATCH($M$93,$A$94:$H$94,0))*고양시_Modal_split!J$3 * 0.01</f>
        <v>922.37319680351493</v>
      </c>
      <c r="U98" s="213">
        <f>INDEX($A$94:$H$106,MATCH($L98,$B$94:$B$106,0),MATCH($M$93,$A$94:$H$94,0))*고양시_Modal_split!K$3 * 0.01</f>
        <v>4.5452030065876219</v>
      </c>
      <c r="V98" s="213">
        <f>INDEX($A$94:$H$106,MATCH($L98,$B$94:$B$106,0),MATCH($M$93,$A$94:$H$94,0))*고양시_Modal_split!L$3 * 0.01</f>
        <v>91.510087199297473</v>
      </c>
      <c r="W98" s="213">
        <f>INDEX($A$94:$H$106,MATCH($L98,$B$94:$B$106,0),MATCH($M$93,$A$94:$H$94,0))*고양시_Modal_split!M$3 * 0.01</f>
        <v>6.9693112767676872</v>
      </c>
      <c r="X98" s="213">
        <f>INDEX($A$94:$H$106,MATCH($L98,$B$94:$B$106,0),MATCH($M$93,$A$94:$H$94,0))*고양시_Modal_split!N$3 * 0.01</f>
        <v>3.0301353377250821</v>
      </c>
      <c r="Y98" s="213">
        <f>INDEX($A$94:$H$106,MATCH($L98,$B$94:$B$106,0),MATCH($M$93,$A$94:$H$94,0))*고양시_Modal_split!O$3 * 0.01</f>
        <v>5.4542436079051475</v>
      </c>
      <c r="Z98" s="213">
        <f>INDEX($A$94:$H$106,MATCH($L98,$B$94:$B$106,0),MATCH($M$93,$A$94:$H$94,0))*고양시_Modal_split!P$3 * 0.01</f>
        <v>3030.1353377250816</v>
      </c>
      <c r="AA98" s="213">
        <f>INDEX($A$94:$H$106,MATCH($L98,$B$94:$B$106,0),MATCH($AA$93,$A$94:$H$94,0))*고양시_Modal_split!C$4 * 0.01</f>
        <v>6675.4035259456832</v>
      </c>
      <c r="AB98" s="213">
        <f>INDEX($A$94:$H$106,MATCH($L98,$B$94:$B$106,0),MATCH($AA$93,$A$94:$H$94,0))*고양시_Modal_split!D$4 * 0.01</f>
        <v>7032.8577883402768</v>
      </c>
      <c r="AC98" s="213">
        <f>INDEX($A$94:$H$106,MATCH($L98,$B$94:$B$106,0),MATCH($AA$93,$A$94:$H$94,0))*고양시_Modal_split!E$4 * 0.01</f>
        <v>1703.9384164453993</v>
      </c>
      <c r="AD98" s="213">
        <f>INDEX($A$94:$H$106,MATCH($L98,$B$94:$B$106,0),MATCH($AA$93,$A$94:$H$94,0))*고양시_Modal_split!F$4 * 0.01</f>
        <v>208.33223881893556</v>
      </c>
      <c r="AE98" s="213">
        <f>INDEX($A$94:$H$106,MATCH($L98,$B$94:$B$106,0),MATCH($AA$93,$A$94:$H$94,0))*고양시_Modal_split!G$4 * 0.01</f>
        <v>2567.9689648102476</v>
      </c>
      <c r="AF98" s="213">
        <f>INDEX($A$94:$H$106,MATCH($L98,$B$94:$B$106,0),MATCH($AA$93,$A$94:$H$94,0))*고양시_Modal_split!H$4 * 0.01</f>
        <v>0</v>
      </c>
      <c r="AG98" s="213">
        <f>INDEX($A$94:$H$106,MATCH($L98,$B$94:$B$106,0),MATCH($AA$93,$A$94:$H$94,0))*고양시_Modal_split!I$4 * 0.01</f>
        <v>763.15388535778493</v>
      </c>
      <c r="AH98" s="213">
        <f>INDEX($A$94:$H$106,MATCH($L98,$B$94:$B$106,0),MATCH($AA$93,$A$94:$H$94,0))*고양시_Modal_split!J$4 * 0.01</f>
        <v>1032.8893103549331</v>
      </c>
      <c r="AI98" s="213">
        <f>INDEX($A$94:$H$106,MATCH($L98,$B$94:$B$106,0),MATCH($AA$93,$A$94:$H$94,0))*고양시_Modal_split!K$4 * 0.01</f>
        <v>0</v>
      </c>
      <c r="AJ98" s="213">
        <f>INDEX($A$94:$H$106,MATCH($L98,$B$94:$B$106,0),MATCH($AA$93,$A$94:$H$94,0))*고양시_Modal_split!L$4 * 0.01</f>
        <v>1013.1525719405076</v>
      </c>
      <c r="AK98" s="213">
        <f>INDEX($A$94:$H$106,MATCH($L98,$B$94:$B$106,0),MATCH($AA$93,$A$94:$H$94,0))*고양시_Modal_split!M$4 * 0.01</f>
        <v>146.929052640723</v>
      </c>
      <c r="AL98" s="213">
        <f>INDEX($A$94:$H$106,MATCH($L98,$B$94:$B$106,0),MATCH($AA$93,$A$94:$H$94,0))*고양시_Modal_split!N$4 * 0.01</f>
        <v>548.24273373404094</v>
      </c>
      <c r="AM98" s="213">
        <f>INDEX($A$94:$H$106,MATCH($L98,$B$94:$B$106,0),MATCH($AA$93,$A$94:$H$94,0))*고양시_Modal_split!O$4 * 0.01</f>
        <v>236.84086097310569</v>
      </c>
      <c r="AN98" s="213">
        <f>INDEX($A$94:$H$106,MATCH($L98,$B$94:$B$106,0),MATCH($AA$93,$A$94:$H$94,0))*고양시_Modal_split!P$4 * 0.01</f>
        <v>21929.709349361641</v>
      </c>
      <c r="AO98" s="213">
        <f>INDEX($A$94:$H$106,MATCH($L98,$B$94:$B$106,0),MATCH($AO$93,$A$94:$H$94,0))*고양시_Modal_split!C$5 * 0.01</f>
        <v>0.75483188687044434</v>
      </c>
      <c r="AP98" s="213">
        <f>INDEX($A$94:$H$106,MATCH($L98,$B$94:$B$106,0),MATCH($AO$93,$A$94:$H$94,0))*고양시_Modal_split!D$5 * 0.01</f>
        <v>921.90134449776951</v>
      </c>
      <c r="AQ98" s="213">
        <f>INDEX($A$94:$H$106,MATCH($L98,$B$94:$B$106,0),MATCH($AO$93,$A$94:$H$94,0))*고양시_Modal_split!E$5 * 0.01</f>
        <v>123.91823476123129</v>
      </c>
      <c r="AR98" s="213">
        <f>INDEX($A$94:$H$106,MATCH($L98,$B$94:$B$106,0),MATCH($AO$93,$A$94:$H$94,0))*고양시_Modal_split!F$5 * 0.01</f>
        <v>26.419116040465557</v>
      </c>
      <c r="AS98" s="213">
        <f>INDEX($A$94:$H$106,MATCH($L98,$B$94:$B$106,0),MATCH($AO$93,$A$94:$H$94,0))*고양시_Modal_split!G$5 * 0.01</f>
        <v>8.177345441096481</v>
      </c>
      <c r="AT98" s="213">
        <f>INDEX($A$94:$H$106,MATCH($L98,$B$94:$B$106,0),MATCH($AO$93,$A$94:$H$94,0))*고양시_Modal_split!H$5 * 0.01</f>
        <v>0.88063720134885171</v>
      </c>
      <c r="AU98" s="213">
        <f>INDEX($A$94:$H$106,MATCH($L98,$B$94:$B$106,0),MATCH($AO$93,$A$94:$H$94,0))*고양시_Modal_split!I$5 * 0.01</f>
        <v>34.848072110518849</v>
      </c>
      <c r="AV98" s="213">
        <f>INDEX($A$94:$H$106,MATCH($L98,$B$94:$B$106,0),MATCH($AO$93,$A$94:$H$94,0))*고양시_Modal_split!J$5 * 0.01</f>
        <v>78.87993217796145</v>
      </c>
      <c r="AW98" s="213">
        <f>INDEX($A$94:$H$106,MATCH($L98,$B$94:$B$106,0),MATCH($AO$93,$A$94:$H$94,0))*고양시_Modal_split!K$5 * 0.01</f>
        <v>0.25161062895681485</v>
      </c>
      <c r="AX98" s="213">
        <f>INDEX($A$94:$H$106,MATCH($L98,$B$94:$B$106,0),MATCH($AO$93,$A$94:$H$94,0))*고양시_Modal_split!L$5 * 0.01</f>
        <v>32.080355191993888</v>
      </c>
      <c r="AY98" s="213">
        <f>INDEX($A$94:$H$106,MATCH($L98,$B$94:$B$106,0),MATCH($AO$93,$A$94:$H$94,0))*고양시_Modal_split!M$5 * 0.01</f>
        <v>8.4289560700532977</v>
      </c>
      <c r="AZ98" s="213">
        <f>INDEX($A$94:$H$106,MATCH($L98,$B$94:$B$106,0),MATCH($AO$93,$A$94:$H$94,0))*고양시_Modal_split!N$5 * 0.01</f>
        <v>2.1386903461329259</v>
      </c>
      <c r="BA98" s="213">
        <f>INDEX($A$94:$H$106,MATCH($L98,$B$94:$B$106,0),MATCH($AO$93,$A$94:$H$94,0))*고양시_Modal_split!O$5 * 0.01</f>
        <v>19.374018429674742</v>
      </c>
      <c r="BB98" s="213">
        <f>INDEX($A$94:$H$106,MATCH($L98,$B$94:$B$106,0),MATCH($AO$93,$A$94:$H$94,0))*고양시_Modal_split!P$5 * 0.01</f>
        <v>1258.0531447840738</v>
      </c>
      <c r="BC98" s="213">
        <f>INDEX($A$94:$H$106,MATCH($L98,$B$94:$B$106,0),MATCH($BC$93,$A$94:$H$94,0))*고양시_Modal_split!C$6 * 0.01</f>
        <v>0</v>
      </c>
      <c r="BD98" s="207">
        <f>INDEX($A$94:$H$106,MATCH($L98,$B$94:$B$106,0),MATCH($BC$93,$A$94:$H$94,0))*고양시_Modal_split!D$6 * 0.01</f>
        <v>1.6371825183798219</v>
      </c>
      <c r="BE98" s="207">
        <f>INDEX($A$94:$H$106,MATCH($L98,$B$94:$B$106,0),MATCH($BC$93,$A$94:$H$94,0))*고양시_Modal_split!E$6 * 0.01</f>
        <v>8.5012496425953821E-3</v>
      </c>
      <c r="BF98" s="207">
        <f>INDEX($A$94:$H$106,MATCH($L98,$B$94:$B$106,0),MATCH($BC$93,$A$94:$H$94,0))*고양시_Modal_split!F$6 * 0.01</f>
        <v>2.411982456736364E-2</v>
      </c>
      <c r="BG98" s="207">
        <f>INDEX($A$94:$H$106,MATCH($L98,$B$94:$B$106,0),MATCH($BC$93,$A$94:$H$94,0))*고양시_Modal_split!G$6 * 0.01</f>
        <v>0</v>
      </c>
      <c r="BH98" s="207">
        <f>INDEX($A$94:$H$106,MATCH($L98,$B$94:$B$106,0),MATCH($BC$93,$A$94:$H$94,0))*고양시_Modal_split!H$6 * 0.01</f>
        <v>0.10498054791204997</v>
      </c>
      <c r="BI98" s="207">
        <f>INDEX($A$94:$H$106,MATCH($L98,$B$94:$B$106,0),MATCH($BC$93,$A$94:$H$94,0))*고양시_Modal_split!I$6 * 0.01</f>
        <v>6.9987031941366629E-2</v>
      </c>
      <c r="BJ98" s="207">
        <f>INDEX($A$94:$H$106,MATCH($L98,$B$94:$B$106,0),MATCH($BC$93,$A$94:$H$94,0))*고양시_Modal_split!J$6 * 0.01</f>
        <v>9.7665519149816707E-2</v>
      </c>
      <c r="BK98" s="207">
        <f>INDEX($A$94:$H$106,MATCH($L98,$B$94:$B$106,0),MATCH($BC$93,$A$94:$H$94,0))*고양시_Modal_split!K$6 * 0.01</f>
        <v>0</v>
      </c>
      <c r="BL98" s="207">
        <f>INDEX($A$94:$H$106,MATCH($L98,$B$94:$B$106,0),MATCH($BC$93,$A$94:$H$94,0))*고양시_Modal_split!L$6 * 0.01</f>
        <v>1.5025464484587189E-2</v>
      </c>
      <c r="BM98" s="207">
        <f>INDEX($A$94:$H$106,MATCH($L98,$B$94:$B$106,0),MATCH($BC$93,$A$94:$H$94,0))*고양시_Modal_split!M$6 * 0.01</f>
        <v>1.7991016685492554E-2</v>
      </c>
      <c r="BN98" s="207">
        <f>INDEX($A$94:$H$106,MATCH($L98,$B$94:$B$106,0),MATCH($BC$93,$A$94:$H$94,0))*고양시_Modal_split!N$6 * 0.01</f>
        <v>0</v>
      </c>
      <c r="BO98" s="207">
        <f>INDEX($A$94:$H$106,MATCH($L98,$B$94:$B$106,0),MATCH($BC$93,$A$94:$H$94,0))*고양시_Modal_split!O$6 * 0.01</f>
        <v>1.5816278404828619E-3</v>
      </c>
      <c r="BP98" s="214">
        <f>INDEX($A$94:$H$106,MATCH($L98,$B$94:$B$106,0),MATCH($BC$93,$A$94:$H$94,0))*고양시_Modal_split!P$6 * 0.01</f>
        <v>1.9770348006035772</v>
      </c>
      <c r="BQ98" s="213">
        <f>INDEX($A$94:$H$106,MATCH($L98,$B$94:$B$106,0),MATCH($BQ$93,$A$94:$H$94,0))*고양시_Modal_split!C$7 * 0.01</f>
        <v>0</v>
      </c>
      <c r="BR98" s="213">
        <f>INDEX($A$94:$H$106,MATCH($L98,$B$94:$B$106,0),MATCH($BQ$93,$A$94:$H$94,0))*고양시_Modal_split!D$7 * 0.01</f>
        <v>4.5768794975039579</v>
      </c>
      <c r="BS98" s="213">
        <f>INDEX($A$94:$H$106,MATCH($L98,$B$94:$B$106,0),MATCH($BQ$93,$A$94:$H$94,0))*고양시_Modal_split!E$7 * 0.01</f>
        <v>0.22331706425484385</v>
      </c>
      <c r="BT98" s="213">
        <f>INDEX($A$94:$H$106,MATCH($L98,$B$94:$B$106,0),MATCH($BQ$93,$A$94:$H$94,0))*고양시_Modal_split!F$7 * 0.01</f>
        <v>7.468798135613508E-2</v>
      </c>
      <c r="BU98" s="213">
        <f>INDEX($A$94:$H$106,MATCH($L98,$B$94:$B$106,0),MATCH($BQ$93,$A$94:$H$94,0))*고양시_Modal_split!G$7 * 0.01</f>
        <v>3.1368952169576733E-2</v>
      </c>
      <c r="BV98" s="213">
        <f>INDEX($A$94:$H$106,MATCH($L98,$B$94:$B$106,0),MATCH($BQ$93,$A$94:$H$94,0))*고양시_Modal_split!H$7 * 0.01</f>
        <v>0.41750581578079504</v>
      </c>
      <c r="BW98" s="213">
        <f>INDEX($A$94:$H$106,MATCH($L98,$B$94:$B$106,0),MATCH($BQ$93,$A$94:$H$94,0))*고양시_Modal_split!I$7 * 0.01</f>
        <v>1.394424611919042</v>
      </c>
      <c r="BX98" s="213">
        <f>INDEX($A$94:$H$106,MATCH($L98,$B$94:$B$106,0),MATCH($BQ$93,$A$94:$H$94,0))*고양시_Modal_split!J$7 * 0.01</f>
        <v>1.4937596271227017E-3</v>
      </c>
      <c r="BY98" s="213">
        <f>INDEX($A$94:$H$106,MATCH($L98,$B$94:$B$106,0),MATCH($BQ$93,$A$94:$H$94,0))*고양시_Modal_split!K$7 * 0.01</f>
        <v>0.57509745644224008</v>
      </c>
      <c r="BZ98" s="213">
        <f>INDEX($A$94:$H$106,MATCH($L98,$B$94:$B$106,0),MATCH($BQ$93,$A$94:$H$94,0))*고양시_Modal_split!L$7 * 0.01</f>
        <v>5.2281586949294544E-3</v>
      </c>
      <c r="CA98" s="213">
        <f>INDEX($A$94:$H$106,MATCH($L98,$B$94:$B$106,0),MATCH($BQ$93,$A$94:$H$94,0))*고양시_Modal_split!M$7 * 0.01</f>
        <v>0.13966652513597261</v>
      </c>
      <c r="CB98" s="213">
        <f>INDEX($A$94:$H$106,MATCH($L98,$B$94:$B$106,0),MATCH($BQ$93,$A$94:$H$94,0))*고양시_Modal_split!N$7 * 0.01</f>
        <v>2.9128312728892679E-2</v>
      </c>
      <c r="CC98" s="213">
        <f>INDEX($A$94:$H$106,MATCH($L98,$B$94:$B$106,0),MATCH($BQ$93,$A$94:$H$94,0))*고양시_Modal_split!O$7 * 0.01</f>
        <v>0</v>
      </c>
      <c r="CD98" s="213">
        <f>INDEX($A$94:$H$106,MATCH($L98,$B$94:$B$106,0),MATCH($BQ$93,$A$94:$H$94,0))*고양시_Modal_split!P$7 * 0.01</f>
        <v>7.4687981356135076</v>
      </c>
      <c r="CE98" s="218">
        <f t="shared" si="58"/>
        <v>6684.6427367781835</v>
      </c>
      <c r="CF98" s="208">
        <f t="shared" si="39"/>
        <v>9386.0458441860374</v>
      </c>
      <c r="CG98" s="208">
        <f t="shared" si="40"/>
        <v>2000.5031702370852</v>
      </c>
      <c r="CH98" s="208">
        <f t="shared" si="41"/>
        <v>512.71357313471481</v>
      </c>
      <c r="CI98" s="208">
        <f t="shared" si="42"/>
        <v>2604.0549243105843</v>
      </c>
      <c r="CJ98" s="208">
        <f t="shared" si="43"/>
        <v>1.7061370988142048</v>
      </c>
      <c r="CK98" s="208">
        <f t="shared" si="44"/>
        <v>883.70413150092145</v>
      </c>
      <c r="CL98" s="208">
        <f t="shared" si="45"/>
        <v>2034.2415986151864</v>
      </c>
      <c r="CM98" s="208">
        <f t="shared" si="46"/>
        <v>5.3719110919866768</v>
      </c>
      <c r="CN98" s="208">
        <f t="shared" si="47"/>
        <v>1136.7632679549786</v>
      </c>
      <c r="CO98" s="208">
        <f t="shared" si="48"/>
        <v>162.48497752936544</v>
      </c>
      <c r="CP98" s="208">
        <f t="shared" si="49"/>
        <v>553.4406877306277</v>
      </c>
      <c r="CQ98" s="208">
        <f t="shared" si="50"/>
        <v>261.67070463852605</v>
      </c>
      <c r="CR98" s="219">
        <f t="shared" si="51"/>
        <v>26227.343664807013</v>
      </c>
      <c r="CS98" s="225">
        <f t="shared" si="59"/>
        <v>0</v>
      </c>
      <c r="CV98" s="265"/>
      <c r="CW98" s="266" t="s">
        <v>15</v>
      </c>
      <c r="CX98" s="267">
        <f>INDEX($M$93:$Z$106,MATCH($CW98,$L$93:$L$106,0),MATCH(CX$94,$M$94:$Z$94,0))/INDEX(고양시_재차인원!$D$4:$H$35,MATCH("고양시",고양시_재차인원!$B$4:$B$35,0),MATCH('A.일산테크노밸리(859991)_수정'!$CX$93,고양시_재차인원!$D$4:$H$4,0))</f>
        <v>1272.3862940465231</v>
      </c>
      <c r="CY98" s="267">
        <f>INDEX($M$93:$Z$106,MATCH($CW98,$L$93:$L$106,0),MATCH(CY$94,$M$94:$Z$94,0))/INDEX(고양시_재차인원!$K$4:$O$20,MATCH("경기도",고양시_재차인원!$K$4:$K$20,0),MATCH('A.일산테크노밸리(859991)_수정'!CY$94,고양시_재차인원!$K$4:$O$4,0))</f>
        <v>1.0524957755210427E-2</v>
      </c>
      <c r="CZ98" s="267">
        <f>INDEX($M$93:$Z$106,MATCH($CW98,$L$93:$L$106,0),MATCH(CZ$94,$M$94:$Z$94,0))/INDEX(고양시_재차인원!$K$4:$O$20,MATCH("경기도",고양시_재차인원!$K$4:$K$20,0),MATCH('A.일산테크노밸리(859991)_수정'!CZ$94,고양시_재차인원!$K$4:$O$4,0))</f>
        <v>2.9259382559484983</v>
      </c>
      <c r="DA98" s="267">
        <f>INDEX($M$93:$Z$106,MATCH($CW98,$L$93:$L$106,0),MATCH(DA$94,$M$94:$Z$94,0))/INDEX(고양시_재차인원!$K$4:$O$20,MATCH("경기도",고양시_재차인원!$K$4:$K$20,0),MATCH('A.일산테크노밸리(859991)_수정'!DA$94,고양시_재차인원!$K$4:$O$4,0))</f>
        <v>61.006724799531646</v>
      </c>
      <c r="DB98" s="268">
        <f>INDEX($AA$93:$AN$106,MATCH($CW98,$L$93:$L$106,0),MATCH(DB$94,$AA$94:$AN$94,0))/INDEX(고양시_재차인원!$D$4:$H$35,MATCH("고양시",고양시_재차인원!$B$4:$B$35,0),MATCH('A.일산테크노밸리(859991)_수정'!$DB$93,고양시_재차인원!$D$4:$H$4,0))</f>
        <v>4987.8424030782107</v>
      </c>
      <c r="DC98" s="267">
        <f>INDEX($AA$93:$AN$106,MATCH($CW98,$L$93:$L$106,0),MATCH(DC$94,$AA$94:$AN$94,0))/INDEX(고양시_재차인원!$K$4:$O$20,MATCH("경기도",고양시_재차인원!$K$4:$K$20,0),MATCH('A.일산테크노밸리(859991)_수정'!DC$94,고양시_재차인원!$K$4:$O$4,0))</f>
        <v>0</v>
      </c>
      <c r="DD98" s="267">
        <f>INDEX($AA$93:$AN$106,MATCH($CW98,$L$93:$L$106,0),MATCH(DD$94,$AA$94:$AN$94,0))/INDEX(고양시_재차인원!$K$4:$O$20,MATCH("경기도",고양시_재차인원!$K$4:$K$20,0),MATCH('A.일산테크노밸리(859991)_수정'!DD$94,고양시_재차인원!$K$4:$O$4,0))</f>
        <v>26.507602825904307</v>
      </c>
      <c r="DE98" s="267">
        <f>INDEX($AA$93:$AN$106,MATCH($CW98,$L$93:$L$106,0),MATCH(DE$94,$AA$94:$AN$94,0))/INDEX(고양시_재차인원!$K$4:$O$20,MATCH("경기도",고양시_재차인원!$K$4:$K$20,0),MATCH('A.일산테크노밸리(859991)_수정'!DE$94,고양시_재차인원!$K$4:$O$4,0))</f>
        <v>675.43504796033847</v>
      </c>
      <c r="DF98" s="268">
        <f>INDEX($AO$93:$BB$106,MATCH($CW98,$L$93:$L$106,0),MATCH(DF$94,$AO$94:$BB$94,0))/INDEX(고양시_재차인원!$D$4:$H$35,MATCH("고양시",고양시_재차인원!$B$4:$B$35,0),MATCH('A.일산테크노밸리(859991)_수정'!$DF$93,고양시_재차인원!$D$4:$H$4,0))</f>
        <v>709.15488038289959</v>
      </c>
      <c r="DG98" s="267">
        <f>INDEX($AO$93:$BB$106,MATCH($CW98,$L$93:$L$106,0),MATCH(DG$94,$AO$94:$BB$94,0))/INDEX(고양시_재차인원!$K$4:$O$20,MATCH("경기도",고양시_재차인원!$K$4:$K$20,0),MATCH('A.일산테크노밸리(859991)_수정'!DG$94,고양시_재차인원!$K$4:$O$4,0))</f>
        <v>3.0588301540425557E-2</v>
      </c>
      <c r="DH98" s="267">
        <f>INDEX($AO$93:$BB$106,MATCH($CW98,$L$93:$L$106,0),MATCH(DH$94,$AO$94:$BB$94,0))/INDEX(고양시_재차인원!$K$4:$O$20,MATCH("경기도",고양시_재차인원!$K$4:$K$20,0),MATCH('A.일산테크노밸리(859991)_수정'!DH$94,고양시_재차인원!$K$4:$O$4,0))</f>
        <v>1.2104227895282684</v>
      </c>
      <c r="DI98" s="267">
        <f>INDEX($AO$93:$BB$106,MATCH($CW98,$L$93:$L$106,0),MATCH(DI$94,$AO$94:$BB$94,0))/INDEX(고양시_재차인원!$K$4:$O$20,MATCH("경기도",고양시_재차인원!$K$4:$K$20,0),MATCH('A.일산테크노밸리(859991)_수정'!DI$94,고양시_재차인원!$K$4:$O$4,0))</f>
        <v>21.386903461329258</v>
      </c>
      <c r="DJ98" s="268">
        <f>INDEX($BC$93:$BP$106,MATCH($CW98,$L$93:$L$106,0),MATCH(DJ$94,$BC$94:$BP$94,0))/INDEX(고양시_재차인원!$D$4:$H$35,MATCH("고양시",고양시_재차인원!$B$4:$B$35,0),MATCH('A.일산테크노밸리(859991)_수정'!$DJ$93,고양시_재차인원!$D$4:$H$4,0))</f>
        <v>1.2038106752792808</v>
      </c>
      <c r="DK98" s="267">
        <f>INDEX($BC$93:$BP$106,MATCH($CW98,$L$93:$L$106,0),MATCH(DK$94,$BC$94:$BP$94,0))/INDEX(고양시_재차인원!$K$4:$O$20,MATCH("경기도",고양시_재차인원!$K$4:$K$20,0),MATCH('A.일산테크노밸리(859991)_수정'!DK$94,고양시_재차인원!$K$4:$O$4,0))</f>
        <v>3.6464240330687731E-3</v>
      </c>
      <c r="DL98" s="267">
        <f>INDEX($BC$93:$BP$106,MATCH($CW98,$L$93:$L$106,0),MATCH(DL$94,$BC$94:$BP$94,0))/INDEX(고양시_재차인원!$K$4:$O$20,MATCH("경기도",고양시_재차인원!$K$4:$K$20,0),MATCH('A.일산테크노밸리(859991)_수정'!DL$94,고양시_재차인원!$K$4:$O$4,0))</f>
        <v>2.4309493553791813E-3</v>
      </c>
      <c r="DM98" s="267">
        <f>INDEX($BC$93:$BP$106,MATCH($CW98,$L$93:$L$106,0),MATCH(DM$94,$BC$94:$BP$94,0))/INDEX(고양시_재차인원!$K$4:$O$20,MATCH("경기도",고양시_재차인원!$K$4:$K$20,0),MATCH('A.일산테크노밸리(859991)_수정'!DM$94,고양시_재차인원!$K$4:$O$4,0))</f>
        <v>1.0016976323058126E-2</v>
      </c>
      <c r="DN98" s="268">
        <f>INDEX($BQ$93:$CD$106,MATCH($CW98,$L$93:$L$106,0),MATCH(DN$94,$BQ$94:$CD$94,0))/INDEX(고양시_재차인원!$D$4:$H$35,MATCH("고양시",고양시_재차인원!$B$4:$B$35,0),MATCH('A.일산테크노밸리(859991)_수정'!$DN$93,고양시_재차인원!$D$4:$H$4,0))</f>
        <v>3.6324440456380618</v>
      </c>
      <c r="DO98" s="267">
        <f>INDEX($BQ$93:$CD$106,MATCH($CW98,$L$93:$L$106,0),MATCH(DO$94,$BQ$94:$CD$94,0))/INDEX(고양시_재차인원!$K$4:$O$20,MATCH("경기도",고양시_재차인원!$K$4:$K$20,0),MATCH('A.일산테크노밸리(859991)_수정'!DO$94,고양시_재차인원!$K$4:$O$4,0))</f>
        <v>1.450176504969764E-2</v>
      </c>
      <c r="DP98" s="267">
        <f>INDEX($BQ$93:$CD$106,MATCH($CW98,$L$93:$L$106,0),MATCH(DP$94,$BQ$94:$CD$94,0))/INDEX(고양시_재차인원!$K$4:$O$20,MATCH("경기도",고양시_재차인원!$K$4:$K$20,0),MATCH('A.일산테크노밸리(859991)_수정'!DP$94,고양시_재차인원!$K$4:$O$4,0))</f>
        <v>4.8434338725913233E-2</v>
      </c>
      <c r="DQ98" s="267">
        <f>INDEX($BQ$93:$CD$106,MATCH($CW98,$L$93:$L$106,0),MATCH(DQ$94,$BQ$94:$CD$94,0))/INDEX(고양시_재차인원!$K$4:$O$20,MATCH("경기도",고양시_재차인원!$K$4:$K$20,0),MATCH('A.일산테크노밸리(859991)_수정'!DQ$94,고양시_재차인원!$K$4:$O$4,0))</f>
        <v>3.4854391299529697E-3</v>
      </c>
      <c r="DR98" s="269">
        <f t="shared" si="60"/>
        <v>6974.2198322285503</v>
      </c>
      <c r="DS98" s="270">
        <f t="shared" si="52"/>
        <v>5.9261448378402401E-2</v>
      </c>
      <c r="DT98" s="270">
        <f t="shared" si="53"/>
        <v>30.694829159462365</v>
      </c>
      <c r="DU98" s="270">
        <f t="shared" si="54"/>
        <v>757.84217863665231</v>
      </c>
      <c r="DW98" s="278"/>
      <c r="DX98" s="278" t="s">
        <v>594</v>
      </c>
      <c r="DY98" s="281">
        <f t="shared" si="61"/>
        <v>7732.0620108652029</v>
      </c>
      <c r="DZ98" s="281">
        <f t="shared" si="62"/>
        <v>30.754090607840769</v>
      </c>
      <c r="EC98" s="412" t="s">
        <v>14</v>
      </c>
      <c r="ED98" s="412" t="s">
        <v>79</v>
      </c>
      <c r="EE98" s="412">
        <v>7192.9411</v>
      </c>
      <c r="EF98" s="412">
        <v>0.56870722672698226</v>
      </c>
      <c r="EG98" s="413">
        <v>859005</v>
      </c>
      <c r="EH98" s="414">
        <f t="shared" si="55"/>
        <v>151.39696880867669</v>
      </c>
      <c r="EI98" s="415">
        <f t="shared" si="56"/>
        <v>0.60217780068909166</v>
      </c>
      <c r="EJ98" s="402">
        <v>0</v>
      </c>
      <c r="EM98" s="278" t="s">
        <v>14</v>
      </c>
      <c r="EN98" s="278" t="s">
        <v>79</v>
      </c>
      <c r="EO98" s="278">
        <v>7192.9411</v>
      </c>
      <c r="EP98" s="278">
        <v>0.56870722672698226</v>
      </c>
      <c r="EQ98" s="289">
        <v>859005</v>
      </c>
      <c r="ER98" s="290">
        <f t="shared" si="37"/>
        <v>151.39696880867669</v>
      </c>
      <c r="ES98" s="291">
        <f t="shared" si="38"/>
        <v>0.60217780068909166</v>
      </c>
      <c r="ET98" s="402">
        <v>0</v>
      </c>
      <c r="EV98" s="34"/>
      <c r="EW98" s="34"/>
      <c r="EX98" s="34"/>
      <c r="EY98" s="34"/>
      <c r="EZ98" s="378"/>
      <c r="FA98" s="401"/>
      <c r="FB98" s="402"/>
      <c r="FC98" s="402"/>
    </row>
    <row r="99" spans="1:159" ht="17" customHeight="1">
      <c r="A99" s="205"/>
      <c r="B99" s="205" t="s">
        <v>16</v>
      </c>
      <c r="C99" s="400">
        <f>'A.일산테크노밸리(859991)_수정'!$P32*KTDB_TripDistribution_2045!T$12 * (1+KTDB_발생량도착량_증가율!$D$8 *5) * (1+KTDB_발생량도착량_증가율!$E$8 *5) * (1+KTDB_발생량도착량_증가율!$F$8 *5) * (1+KTDB_발생량도착량_증가율!$G$8 *5)</f>
        <v>328.42918956829919</v>
      </c>
      <c r="D99" s="400">
        <f>'A.일산테크노밸리(859991)_수정'!$P32*KTDB_TripDistribution_2045!U$12 * (1+KTDB_발생량도착량_증가율!$D$8 *5) * (1+KTDB_발생량도착량_증가율!$E$8 *5) * (1+KTDB_발생량도착량_증가율!$F$8 *5) * (1+KTDB_발생량도착량_증가율!$G$8 *5)</f>
        <v>2376.9092355084281</v>
      </c>
      <c r="E99" s="400">
        <f>'A.일산테크노밸리(859991)_수정'!$P32*KTDB_TripDistribution_2045!V$12 * (1+KTDB_발생량도착량_증가율!$D$8 *5) * (1+KTDB_발생량도착량_증가율!$E$8 *5) * (1+KTDB_발생량도착량_증가율!$F$8 *5) * (1+KTDB_발생량도착량_증가율!$G$8 *5)</f>
        <v>136.35739949671211</v>
      </c>
      <c r="F99" s="400">
        <f>'A.일산테크노밸리(859991)_수정'!$P32*KTDB_TripDistribution_2045!W$12 * (1+KTDB_발생량도착량_증가율!$D$8 *5) * (1+KTDB_발생량도착량_증가율!$E$8 *5) * (1+KTDB_발생량도착량_증가율!$F$8 *5) * (1+KTDB_발생량도착량_증가율!$G$8 *5)</f>
        <v>0.21428611759567165</v>
      </c>
      <c r="G99" s="400">
        <f>'A.일산테크노밸리(859991)_수정'!$P32*KTDB_TripDistribution_2045!X$12 * (1+KTDB_발생량도착량_증가율!$D$8 *5) * (1+KTDB_발생량도착량_증가율!$E$8 *5) * (1+KTDB_발생량도착량_증가율!$F$8 *5) * (1+KTDB_발생량도착량_증가율!$G$8 *5)</f>
        <v>0.80952533313920327</v>
      </c>
      <c r="H99" s="400">
        <f>'A.일산테크노밸리(859991)_수정'!$P32*KTDB_TripDistribution_2045!Y$12 * (1+KTDB_발생량도착량_증가율!$D$8 *5) * (1+KTDB_발생량도착량_증가율!$E$8 *5) * (1+KTDB_발생량도착량_증가율!$F$8 *5) * (1+KTDB_발생량도착량_증가율!$G$8 *5)</f>
        <v>2842.7196360241746</v>
      </c>
      <c r="J99" s="230">
        <f t="shared" si="57"/>
        <v>2842.7196360241742</v>
      </c>
      <c r="K99" s="206"/>
      <c r="L99" s="209" t="s">
        <v>16</v>
      </c>
      <c r="M99" s="213">
        <f>INDEX($A$94:$H$106,MATCH($L99,$B$94:$B$106,0),MATCH($M$93,$A$94:$H$94,0))*고양시_Modal_split!C$3 * 0.01</f>
        <v>0.91960173079123764</v>
      </c>
      <c r="N99" s="213">
        <f>INDEX($A$94:$H$106,MATCH($L99,$B$94:$B$106,0),MATCH($M$93,$A$94:$H$94,0))*고양시_Modal_split!D$3 * 0.01</f>
        <v>154.46024785397114</v>
      </c>
      <c r="O99" s="213">
        <f>INDEX($A$94:$H$106,MATCH($L99,$B$94:$B$106,0),MATCH($M$93,$A$94:$H$94,0))*고양시_Modal_split!E$3 * 0.01</f>
        <v>18.687620886436225</v>
      </c>
      <c r="P99" s="213">
        <f>INDEX($A$94:$H$106,MATCH($L99,$B$94:$B$106,0),MATCH($M$93,$A$94:$H$94,0))*고양시_Modal_split!F$3 * 0.01</f>
        <v>30.116956683413036</v>
      </c>
      <c r="Q99" s="213">
        <f>INDEX($A$94:$H$106,MATCH($L99,$B$94:$B$106,0),MATCH($M$93,$A$94:$H$94,0))*고양시_Modal_split!G$3 * 0.01</f>
        <v>3.0215485440283523</v>
      </c>
      <c r="R99" s="213">
        <f>INDEX($A$94:$H$106,MATCH($L99,$B$94:$B$106,0),MATCH($M$93,$A$94:$H$94,0))*고양시_Modal_split!H$3 * 0.01</f>
        <v>3.284291895682992E-2</v>
      </c>
      <c r="S99" s="213">
        <f>INDEX($A$94:$H$106,MATCH($L99,$B$94:$B$106,0),MATCH($M$93,$A$94:$H$94,0))*고양시_Modal_split!I$3 * 0.01</f>
        <v>9.1303314699987173</v>
      </c>
      <c r="T99" s="213">
        <f>INDEX($A$94:$H$106,MATCH($L99,$B$94:$B$106,0),MATCH($M$93,$A$94:$H$94,0))*고양시_Modal_split!J$3 * 0.01</f>
        <v>99.973845304590284</v>
      </c>
      <c r="U99" s="213">
        <f>INDEX($A$94:$H$106,MATCH($L99,$B$94:$B$106,0),MATCH($M$93,$A$94:$H$94,0))*고양시_Modal_split!K$3 * 0.01</f>
        <v>0.49264378435244882</v>
      </c>
      <c r="V99" s="213">
        <f>INDEX($A$94:$H$106,MATCH($L99,$B$94:$B$106,0),MATCH($M$93,$A$94:$H$94,0))*고양시_Modal_split!L$3 * 0.01</f>
        <v>9.9185615249626355</v>
      </c>
      <c r="W99" s="213">
        <f>INDEX($A$94:$H$106,MATCH($L99,$B$94:$B$106,0),MATCH($M$93,$A$94:$H$94,0))*고양시_Modal_split!M$3 * 0.01</f>
        <v>0.75538713600708807</v>
      </c>
      <c r="X99" s="213">
        <f>INDEX($A$94:$H$106,MATCH($L99,$B$94:$B$106,0),MATCH($M$93,$A$94:$H$94,0))*고양시_Modal_split!N$3 * 0.01</f>
        <v>0.3284291895682992</v>
      </c>
      <c r="Y99" s="213">
        <f>INDEX($A$94:$H$106,MATCH($L99,$B$94:$B$106,0),MATCH($M$93,$A$94:$H$94,0))*고양시_Modal_split!O$3 * 0.01</f>
        <v>0.5911725412229385</v>
      </c>
      <c r="Z99" s="213">
        <f>INDEX($A$94:$H$106,MATCH($L99,$B$94:$B$106,0),MATCH($M$93,$A$94:$H$94,0))*고양시_Modal_split!P$3 * 0.01</f>
        <v>328.42918956829919</v>
      </c>
      <c r="AA99" s="213">
        <f>INDEX($A$94:$H$106,MATCH($L99,$B$94:$B$106,0),MATCH($AA$93,$A$94:$H$94,0))*고양시_Modal_split!C$4 * 0.01</f>
        <v>723.53117128876545</v>
      </c>
      <c r="AB99" s="213">
        <f>INDEX($A$94:$H$106,MATCH($L99,$B$94:$B$106,0),MATCH($AA$93,$A$94:$H$94,0))*고양시_Modal_split!D$4 * 0.01</f>
        <v>762.2747918275528</v>
      </c>
      <c r="AC99" s="213">
        <f>INDEX($A$94:$H$106,MATCH($L99,$B$94:$B$106,0),MATCH($AA$93,$A$94:$H$94,0))*고양시_Modal_split!E$4 * 0.01</f>
        <v>184.68584759900489</v>
      </c>
      <c r="AD99" s="213">
        <f>INDEX($A$94:$H$106,MATCH($L99,$B$94:$B$106,0),MATCH($AA$93,$A$94:$H$94,0))*고양시_Modal_split!F$4 * 0.01</f>
        <v>22.580637737330068</v>
      </c>
      <c r="AE99" s="213">
        <f>INDEX($A$94:$H$106,MATCH($L99,$B$94:$B$106,0),MATCH($AA$93,$A$94:$H$94,0))*고양시_Modal_split!G$4 * 0.01</f>
        <v>278.3360714780369</v>
      </c>
      <c r="AF99" s="213">
        <f>INDEX($A$94:$H$106,MATCH($L99,$B$94:$B$106,0),MATCH($AA$93,$A$94:$H$94,0))*고양시_Modal_split!H$4 * 0.01</f>
        <v>0</v>
      </c>
      <c r="AG99" s="213">
        <f>INDEX($A$94:$H$106,MATCH($L99,$B$94:$B$106,0),MATCH($AA$93,$A$94:$H$94,0))*고양시_Modal_split!I$4 * 0.01</f>
        <v>82.716441395693295</v>
      </c>
      <c r="AH99" s="213">
        <f>INDEX($A$94:$H$106,MATCH($L99,$B$94:$B$106,0),MATCH($AA$93,$A$94:$H$94,0))*고양시_Modal_split!J$4 * 0.01</f>
        <v>111.95242499244696</v>
      </c>
      <c r="AI99" s="213">
        <f>INDEX($A$94:$H$106,MATCH($L99,$B$94:$B$106,0),MATCH($AA$93,$A$94:$H$94,0))*고양시_Modal_split!K$4 * 0.01</f>
        <v>0</v>
      </c>
      <c r="AJ99" s="213">
        <f>INDEX($A$94:$H$106,MATCH($L99,$B$94:$B$106,0),MATCH($AA$93,$A$94:$H$94,0))*고양시_Modal_split!L$4 * 0.01</f>
        <v>109.81320668048939</v>
      </c>
      <c r="AK99" s="213">
        <f>INDEX($A$94:$H$106,MATCH($L99,$B$94:$B$106,0),MATCH($AA$93,$A$94:$H$94,0))*고양시_Modal_split!M$4 * 0.01</f>
        <v>15.925291877906469</v>
      </c>
      <c r="AL99" s="213">
        <f>INDEX($A$94:$H$106,MATCH($L99,$B$94:$B$106,0),MATCH($AA$93,$A$94:$H$94,0))*고양시_Modal_split!N$4 * 0.01</f>
        <v>59.422730887710706</v>
      </c>
      <c r="AM99" s="213">
        <f>INDEX($A$94:$H$106,MATCH($L99,$B$94:$B$106,0),MATCH($AA$93,$A$94:$H$94,0))*고양시_Modal_split!O$4 * 0.01</f>
        <v>25.670619743491024</v>
      </c>
      <c r="AN99" s="213">
        <f>INDEX($A$94:$H$106,MATCH($L99,$B$94:$B$106,0),MATCH($AA$93,$A$94:$H$94,0))*고양시_Modal_split!P$4 * 0.01</f>
        <v>2376.9092355084281</v>
      </c>
      <c r="AO99" s="213">
        <f>INDEX($A$94:$H$106,MATCH($L99,$B$94:$B$106,0),MATCH($AO$93,$A$94:$H$94,0))*고양시_Modal_split!C$5 * 0.01</f>
        <v>8.1814439698027264E-2</v>
      </c>
      <c r="AP99" s="213">
        <f>INDEX($A$94:$H$106,MATCH($L99,$B$94:$B$106,0),MATCH($AO$93,$A$94:$H$94,0))*고양시_Modal_split!D$5 * 0.01</f>
        <v>99.922702351190637</v>
      </c>
      <c r="AQ99" s="213">
        <f>INDEX($A$94:$H$106,MATCH($L99,$B$94:$B$106,0),MATCH($AO$93,$A$94:$H$94,0))*고양시_Modal_split!E$5 * 0.01</f>
        <v>13.431203850426142</v>
      </c>
      <c r="AR99" s="213">
        <f>INDEX($A$94:$H$106,MATCH($L99,$B$94:$B$106,0),MATCH($AO$93,$A$94:$H$94,0))*고양시_Modal_split!F$5 * 0.01</f>
        <v>2.8635053894309546</v>
      </c>
      <c r="AS99" s="213">
        <f>INDEX($A$94:$H$106,MATCH($L99,$B$94:$B$106,0),MATCH($AO$93,$A$94:$H$94,0))*고양시_Modal_split!G$5 * 0.01</f>
        <v>0.88632309672862875</v>
      </c>
      <c r="AT99" s="213">
        <f>INDEX($A$94:$H$106,MATCH($L99,$B$94:$B$106,0),MATCH($AO$93,$A$94:$H$94,0))*고양시_Modal_split!H$5 * 0.01</f>
        <v>9.545017964769846E-2</v>
      </c>
      <c r="AU99" s="213">
        <f>INDEX($A$94:$H$106,MATCH($L99,$B$94:$B$106,0),MATCH($AO$93,$A$94:$H$94,0))*고양시_Modal_split!I$5 * 0.01</f>
        <v>3.7770999660589251</v>
      </c>
      <c r="AV99" s="213">
        <f>INDEX($A$94:$H$106,MATCH($L99,$B$94:$B$106,0),MATCH($AO$93,$A$94:$H$94,0))*고양시_Modal_split!J$5 * 0.01</f>
        <v>8.5496089484438489</v>
      </c>
      <c r="AW99" s="213">
        <f>INDEX($A$94:$H$106,MATCH($L99,$B$94:$B$106,0),MATCH($AO$93,$A$94:$H$94,0))*고양시_Modal_split!K$5 * 0.01</f>
        <v>2.7271479899342421E-2</v>
      </c>
      <c r="AX99" s="213">
        <f>INDEX($A$94:$H$106,MATCH($L99,$B$94:$B$106,0),MATCH($AO$93,$A$94:$H$94,0))*고양시_Modal_split!L$5 * 0.01</f>
        <v>3.4771136871661583</v>
      </c>
      <c r="AY99" s="213">
        <f>INDEX($A$94:$H$106,MATCH($L99,$B$94:$B$106,0),MATCH($AO$93,$A$94:$H$94,0))*고양시_Modal_split!M$5 * 0.01</f>
        <v>0.91359457662797117</v>
      </c>
      <c r="AZ99" s="213">
        <f>INDEX($A$94:$H$106,MATCH($L99,$B$94:$B$106,0),MATCH($AO$93,$A$94:$H$94,0))*고양시_Modal_split!N$5 * 0.01</f>
        <v>0.23180757914441055</v>
      </c>
      <c r="BA99" s="213">
        <f>INDEX($A$94:$H$106,MATCH($L99,$B$94:$B$106,0),MATCH($AO$93,$A$94:$H$94,0))*고양시_Modal_split!O$5 * 0.01</f>
        <v>2.0999039522493663</v>
      </c>
      <c r="BB99" s="213">
        <f>INDEX($A$94:$H$106,MATCH($L99,$B$94:$B$106,0),MATCH($AO$93,$A$94:$H$94,0))*고양시_Modal_split!P$5 * 0.01</f>
        <v>136.35739949671208</v>
      </c>
      <c r="BC99" s="213">
        <f>INDEX($A$94:$H$106,MATCH($L99,$B$94:$B$106,0),MATCH($BC$93,$A$94:$H$94,0))*고양시_Modal_split!C$6 * 0.01</f>
        <v>0</v>
      </c>
      <c r="BD99" s="207">
        <f>INDEX($A$94:$H$106,MATCH($L99,$B$94:$B$106,0),MATCH($BC$93,$A$94:$H$94,0))*고양시_Modal_split!D$6 * 0.01</f>
        <v>0.17745033398097565</v>
      </c>
      <c r="BE99" s="207">
        <f>INDEX($A$94:$H$106,MATCH($L99,$B$94:$B$106,0),MATCH($BC$93,$A$94:$H$94,0))*고양시_Modal_split!E$6 * 0.01</f>
        <v>9.2143030566138801E-4</v>
      </c>
      <c r="BF99" s="207">
        <f>INDEX($A$94:$H$106,MATCH($L99,$B$94:$B$106,0),MATCH($BC$93,$A$94:$H$94,0))*고양시_Modal_split!F$6 * 0.01</f>
        <v>2.6142906346671942E-3</v>
      </c>
      <c r="BG99" s="207">
        <f>INDEX($A$94:$H$106,MATCH($L99,$B$94:$B$106,0),MATCH($BC$93,$A$94:$H$94,0))*고양시_Modal_split!G$6 * 0.01</f>
        <v>0</v>
      </c>
      <c r="BH99" s="207">
        <f>INDEX($A$94:$H$106,MATCH($L99,$B$94:$B$106,0),MATCH($BC$93,$A$94:$H$94,0))*고양시_Modal_split!H$6 * 0.01</f>
        <v>1.1378592844330166E-2</v>
      </c>
      <c r="BI99" s="207">
        <f>INDEX($A$94:$H$106,MATCH($L99,$B$94:$B$106,0),MATCH($BC$93,$A$94:$H$94,0))*고양시_Modal_split!I$6 * 0.01</f>
        <v>7.585728562886777E-3</v>
      </c>
      <c r="BJ99" s="207">
        <f>INDEX($A$94:$H$106,MATCH($L99,$B$94:$B$106,0),MATCH($BC$93,$A$94:$H$94,0))*고양시_Modal_split!J$6 * 0.01</f>
        <v>1.0585734209226179E-2</v>
      </c>
      <c r="BK99" s="207">
        <f>INDEX($A$94:$H$106,MATCH($L99,$B$94:$B$106,0),MATCH($BC$93,$A$94:$H$94,0))*고양시_Modal_split!K$6 * 0.01</f>
        <v>0</v>
      </c>
      <c r="BL99" s="207">
        <f>INDEX($A$94:$H$106,MATCH($L99,$B$94:$B$106,0),MATCH($BC$93,$A$94:$H$94,0))*고양시_Modal_split!L$6 * 0.01</f>
        <v>1.6285744937271046E-3</v>
      </c>
      <c r="BM99" s="207">
        <f>INDEX($A$94:$H$106,MATCH($L99,$B$94:$B$106,0),MATCH($BC$93,$A$94:$H$94,0))*고양시_Modal_split!M$6 * 0.01</f>
        <v>1.9500036701206123E-3</v>
      </c>
      <c r="BN99" s="207">
        <f>INDEX($A$94:$H$106,MATCH($L99,$B$94:$B$106,0),MATCH($BC$93,$A$94:$H$94,0))*고양시_Modal_split!N$6 * 0.01</f>
        <v>0</v>
      </c>
      <c r="BO99" s="207">
        <f>INDEX($A$94:$H$106,MATCH($L99,$B$94:$B$106,0),MATCH($BC$93,$A$94:$H$94,0))*고양시_Modal_split!O$6 * 0.01</f>
        <v>1.7142889407653733E-4</v>
      </c>
      <c r="BP99" s="214">
        <f>INDEX($A$94:$H$106,MATCH($L99,$B$94:$B$106,0),MATCH($BC$93,$A$94:$H$94,0))*고양시_Modal_split!P$6 * 0.01</f>
        <v>0.21428611759567165</v>
      </c>
      <c r="BQ99" s="213">
        <f>INDEX($A$94:$H$106,MATCH($L99,$B$94:$B$106,0),MATCH($BQ$93,$A$94:$H$94,0))*고양시_Modal_split!C$7 * 0.01</f>
        <v>0</v>
      </c>
      <c r="BR99" s="213">
        <f>INDEX($A$94:$H$106,MATCH($L99,$B$94:$B$106,0),MATCH($BQ$93,$A$94:$H$94,0))*고양시_Modal_split!D$7 * 0.01</f>
        <v>0.49607712414770377</v>
      </c>
      <c r="BS99" s="213">
        <f>INDEX($A$94:$H$106,MATCH($L99,$B$94:$B$106,0),MATCH($BQ$93,$A$94:$H$94,0))*고양시_Modal_split!E$7 * 0.01</f>
        <v>2.4204807460862177E-2</v>
      </c>
      <c r="BT99" s="213">
        <f>INDEX($A$94:$H$106,MATCH($L99,$B$94:$B$106,0),MATCH($BQ$93,$A$94:$H$94,0))*고양시_Modal_split!F$7 * 0.01</f>
        <v>8.095253331392032E-3</v>
      </c>
      <c r="BU99" s="213">
        <f>INDEX($A$94:$H$106,MATCH($L99,$B$94:$B$106,0),MATCH($BQ$93,$A$94:$H$94,0))*고양시_Modal_split!G$7 * 0.01</f>
        <v>3.4000063991846538E-3</v>
      </c>
      <c r="BV99" s="213">
        <f>INDEX($A$94:$H$106,MATCH($L99,$B$94:$B$106,0),MATCH($BQ$93,$A$94:$H$94,0))*고양시_Modal_split!H$7 * 0.01</f>
        <v>4.5252466122481468E-2</v>
      </c>
      <c r="BW99" s="213">
        <f>INDEX($A$94:$H$106,MATCH($L99,$B$94:$B$106,0),MATCH($BQ$93,$A$94:$H$94,0))*고양시_Modal_split!I$7 * 0.01</f>
        <v>0.15113837969708926</v>
      </c>
      <c r="BX99" s="213">
        <f>INDEX($A$94:$H$106,MATCH($L99,$B$94:$B$106,0),MATCH($BQ$93,$A$94:$H$94,0))*고양시_Modal_split!J$7 * 0.01</f>
        <v>1.6190506662784064E-4</v>
      </c>
      <c r="BY99" s="213">
        <f>INDEX($A$94:$H$106,MATCH($L99,$B$94:$B$106,0),MATCH($BQ$93,$A$94:$H$94,0))*고양시_Modal_split!K$7 * 0.01</f>
        <v>6.233345065171865E-2</v>
      </c>
      <c r="BZ99" s="213">
        <f>INDEX($A$94:$H$106,MATCH($L99,$B$94:$B$106,0),MATCH($BQ$93,$A$94:$H$94,0))*고양시_Modal_split!L$7 * 0.01</f>
        <v>5.6666773319744219E-4</v>
      </c>
      <c r="CA99" s="213">
        <f>INDEX($A$94:$H$106,MATCH($L99,$B$94:$B$106,0),MATCH($BQ$93,$A$94:$H$94,0))*고양시_Modal_split!M$7 * 0.01</f>
        <v>1.5138123729703102E-2</v>
      </c>
      <c r="CB99" s="213">
        <f>INDEX($A$94:$H$106,MATCH($L99,$B$94:$B$106,0),MATCH($BQ$93,$A$94:$H$94,0))*고양시_Modal_split!N$7 * 0.01</f>
        <v>3.1571487992428926E-3</v>
      </c>
      <c r="CC99" s="213">
        <f>INDEX($A$94:$H$106,MATCH($L99,$B$94:$B$106,0),MATCH($BQ$93,$A$94:$H$94,0))*고양시_Modal_split!O$7 * 0.01</f>
        <v>0</v>
      </c>
      <c r="CD99" s="213">
        <f>INDEX($A$94:$H$106,MATCH($L99,$B$94:$B$106,0),MATCH($BQ$93,$A$94:$H$94,0))*고양시_Modal_split!P$7 * 0.01</f>
        <v>0.80952533313920327</v>
      </c>
      <c r="CE99" s="218">
        <f t="shared" si="58"/>
        <v>724.53258745925473</v>
      </c>
      <c r="CF99" s="208">
        <f t="shared" si="39"/>
        <v>1017.3312694908434</v>
      </c>
      <c r="CG99" s="208">
        <f t="shared" si="40"/>
        <v>216.82979857363378</v>
      </c>
      <c r="CH99" s="208">
        <f t="shared" si="41"/>
        <v>55.571809354140115</v>
      </c>
      <c r="CI99" s="208">
        <f t="shared" si="42"/>
        <v>282.24734312519308</v>
      </c>
      <c r="CJ99" s="208">
        <f t="shared" si="43"/>
        <v>0.18492415757133998</v>
      </c>
      <c r="CK99" s="208">
        <f t="shared" si="44"/>
        <v>95.782596940010919</v>
      </c>
      <c r="CL99" s="208">
        <f t="shared" si="45"/>
        <v>220.48662688475696</v>
      </c>
      <c r="CM99" s="208">
        <f t="shared" si="46"/>
        <v>0.58224871490350993</v>
      </c>
      <c r="CN99" s="208">
        <f t="shared" si="47"/>
        <v>123.2110771348451</v>
      </c>
      <c r="CO99" s="208">
        <f t="shared" si="48"/>
        <v>17.611361717941353</v>
      </c>
      <c r="CP99" s="208">
        <f t="shared" si="49"/>
        <v>59.986124805222651</v>
      </c>
      <c r="CQ99" s="208">
        <f t="shared" si="50"/>
        <v>28.361867665857407</v>
      </c>
      <c r="CR99" s="219">
        <f t="shared" si="51"/>
        <v>2842.7196360241742</v>
      </c>
      <c r="CS99" s="225">
        <f t="shared" si="59"/>
        <v>0</v>
      </c>
      <c r="CV99" s="265"/>
      <c r="CW99" s="266" t="s">
        <v>16</v>
      </c>
      <c r="CX99" s="267">
        <f>INDEX($M$93:$Z$106,MATCH($CW99,$L$93:$L$106,0),MATCH(CX$94,$M$94:$Z$94,0))/INDEX(고양시_재차인원!$D$4:$H$35,MATCH("고양시",고양시_재차인원!$B$4:$B$35,0),MATCH('A.일산테크노밸리(859991)_수정'!$CX$93,고양시_재차인원!$D$4:$H$4,0))</f>
        <v>137.91093558390278</v>
      </c>
      <c r="CY99" s="267">
        <f>INDEX($M$93:$Z$106,MATCH($CW99,$L$93:$L$106,0),MATCH(CY$94,$M$94:$Z$94,0))/INDEX(고양시_재차인원!$K$4:$O$20,MATCH("경기도",고양시_재차인원!$K$4:$K$20,0),MATCH('A.일산테크노밸리(859991)_수정'!CY$94,고양시_재차인원!$K$4:$O$4,0))</f>
        <v>1.1407752329569267E-3</v>
      </c>
      <c r="CZ99" s="267">
        <f>INDEX($M$93:$Z$106,MATCH($CW99,$L$93:$L$106,0),MATCH(CZ$94,$M$94:$Z$94,0))/INDEX(고양시_재차인원!$K$4:$O$20,MATCH("경기도",고양시_재차인원!$K$4:$K$20,0),MATCH('A.일산테크노밸리(859991)_수정'!CZ$94,고양시_재차인원!$K$4:$O$4,0))</f>
        <v>0.31713551476202562</v>
      </c>
      <c r="DA99" s="267">
        <f>INDEX($M$93:$Z$106,MATCH($CW99,$L$93:$L$106,0),MATCH(DA$94,$M$94:$Z$94,0))/INDEX(고양시_재차인원!$K$4:$O$20,MATCH("경기도",고양시_재차인원!$K$4:$K$20,0),MATCH('A.일산테크노밸리(859991)_수정'!DA$94,고양시_재차인원!$K$4:$O$4,0))</f>
        <v>6.6123743499750907</v>
      </c>
      <c r="DB99" s="268">
        <f>INDEX($AA$93:$AN$106,MATCH($CW99,$L$93:$L$106,0),MATCH(DB$94,$AA$94:$AN$94,0))/INDEX(고양시_재차인원!$D$4:$H$35,MATCH("고양시",고양시_재차인원!$B$4:$B$35,0),MATCH('A.일산테크노밸리(859991)_수정'!$DB$93,고양시_재차인원!$D$4:$H$4,0))</f>
        <v>540.62041973585303</v>
      </c>
      <c r="DC99" s="267">
        <f>INDEX($AA$93:$AN$106,MATCH($CW99,$L$93:$L$106,0),MATCH(DC$94,$AA$94:$AN$94,0))/INDEX(고양시_재차인원!$K$4:$O$20,MATCH("경기도",고양시_재차인원!$K$4:$K$20,0),MATCH('A.일산테크노밸리(859991)_수정'!DC$94,고양시_재차인원!$K$4:$O$4,0))</f>
        <v>0</v>
      </c>
      <c r="DD99" s="267">
        <f>INDEX($AA$93:$AN$106,MATCH($CW99,$L$93:$L$106,0),MATCH(DD$94,$AA$94:$AN$94,0))/INDEX(고양시_재차인원!$K$4:$O$20,MATCH("경기도",고양시_재차인원!$K$4:$K$20,0),MATCH('A.일산테크노밸리(859991)_수정'!DD$94,고양시_재차인원!$K$4:$O$4,0))</f>
        <v>2.8730962624415874</v>
      </c>
      <c r="DE99" s="267">
        <f>INDEX($AA$93:$AN$106,MATCH($CW99,$L$93:$L$106,0),MATCH(DE$94,$AA$94:$AN$94,0))/INDEX(고양시_재차인원!$K$4:$O$20,MATCH("경기도",고양시_재차인원!$K$4:$K$20,0),MATCH('A.일산테크노밸리(859991)_수정'!DE$94,고양시_재차인원!$K$4:$O$4,0))</f>
        <v>73.208804453659596</v>
      </c>
      <c r="DF99" s="268">
        <f>INDEX($AO$93:$BB$106,MATCH($CW99,$L$93:$L$106,0),MATCH(DF$94,$AO$94:$BB$94,0))/INDEX(고양시_재차인원!$D$4:$H$35,MATCH("고양시",고양시_재차인원!$B$4:$B$35,0),MATCH('A.일산테크노밸리(859991)_수정'!$DF$93,고양시_재차인원!$D$4:$H$4,0))</f>
        <v>76.863617193223561</v>
      </c>
      <c r="DG99" s="267">
        <f>INDEX($AO$93:$BB$106,MATCH($CW99,$L$93:$L$106,0),MATCH(DG$94,$AO$94:$BB$94,0))/INDEX(고양시_재차인원!$K$4:$O$20,MATCH("경기도",고양시_재차인원!$K$4:$K$20,0),MATCH('A.일산테크노밸리(859991)_수정'!DG$94,고양시_재차인원!$K$4:$O$4,0))</f>
        <v>3.3153935271864696E-3</v>
      </c>
      <c r="DH99" s="267">
        <f>INDEX($AO$93:$BB$106,MATCH($CW99,$L$93:$L$106,0),MATCH(DH$94,$AO$94:$BB$94,0))/INDEX(고양시_재차인원!$K$4:$O$20,MATCH("경기도",고양시_재차인원!$K$4:$K$20,0),MATCH('A.일산테크노밸리(859991)_수정'!DH$94,고양시_재차인원!$K$4:$O$4,0))</f>
        <v>0.13119485814723603</v>
      </c>
      <c r="DI99" s="267">
        <f>INDEX($AO$93:$BB$106,MATCH($CW99,$L$93:$L$106,0),MATCH(DI$94,$AO$94:$BB$94,0))/INDEX(고양시_재차인원!$K$4:$O$20,MATCH("경기도",고양시_재차인원!$K$4:$K$20,0),MATCH('A.일산테크노밸리(859991)_수정'!DI$94,고양시_재차인원!$K$4:$O$4,0))</f>
        <v>2.3180757914441057</v>
      </c>
      <c r="DJ99" s="268">
        <f>INDEX($BC$93:$BP$106,MATCH($CW99,$L$93:$L$106,0),MATCH(DJ$94,$BC$94:$BP$94,0))/INDEX(고양시_재차인원!$D$4:$H$35,MATCH("고양시",고양시_재차인원!$B$4:$B$35,0),MATCH('A.일산테크노밸리(859991)_수정'!$DJ$93,고양시_재차인원!$D$4:$H$4,0))</f>
        <v>0.13047818675071737</v>
      </c>
      <c r="DK99" s="267">
        <f>INDEX($BC$93:$BP$106,MATCH($CW99,$L$93:$L$106,0),MATCH(DK$94,$BC$94:$BP$94,0))/INDEX(고양시_재차인원!$K$4:$O$20,MATCH("경기도",고양시_재차인원!$K$4:$K$20,0),MATCH('A.일산테크노밸리(859991)_수정'!DK$94,고양시_재차인원!$K$4:$O$4,0))</f>
        <v>3.952272610048686E-4</v>
      </c>
      <c r="DL99" s="267">
        <f>INDEX($BC$93:$BP$106,MATCH($CW99,$L$93:$L$106,0),MATCH(DL$94,$BC$94:$BP$94,0))/INDEX(고양시_재차인원!$K$4:$O$20,MATCH("경기도",고양시_재차인원!$K$4:$K$20,0),MATCH('A.일산테크노밸리(859991)_수정'!DL$94,고양시_재차인원!$K$4:$O$4,0))</f>
        <v>2.634848406699124E-4</v>
      </c>
      <c r="DM99" s="267">
        <f>INDEX($BC$93:$BP$106,MATCH($CW99,$L$93:$L$106,0),MATCH(DM$94,$BC$94:$BP$94,0))/INDEX(고양시_재차인원!$K$4:$O$20,MATCH("경기도",고양시_재차인원!$K$4:$K$20,0),MATCH('A.일산테크노밸리(859991)_수정'!DM$94,고양시_재차인원!$K$4:$O$4,0))</f>
        <v>1.085716329151403E-3</v>
      </c>
      <c r="DN99" s="268">
        <f>INDEX($BQ$93:$CD$106,MATCH($CW99,$L$93:$L$106,0),MATCH(DN$94,$BQ$94:$CD$94,0))/INDEX(고양시_재차인원!$D$4:$H$35,MATCH("고양시",고양시_재차인원!$B$4:$B$35,0),MATCH('A.일산테크노밸리(859991)_수정'!$DN$93,고양시_재차인원!$D$4:$H$4,0))</f>
        <v>0.39371200329182837</v>
      </c>
      <c r="DO99" s="267">
        <f>INDEX($BQ$93:$CD$106,MATCH($CW99,$L$93:$L$106,0),MATCH(DO$94,$BQ$94:$CD$94,0))/INDEX(고양시_재차인원!$K$4:$O$20,MATCH("경기도",고양시_재차인원!$K$4:$K$20,0),MATCH('A.일산테크노밸리(859991)_수정'!DO$94,고양시_재차인원!$K$4:$O$4,0))</f>
        <v>1.5718119528475676E-3</v>
      </c>
      <c r="DP99" s="267">
        <f>INDEX($BQ$93:$CD$106,MATCH($CW99,$L$93:$L$106,0),MATCH(DP$94,$BQ$94:$CD$94,0))/INDEX(고양시_재차인원!$K$4:$O$20,MATCH("경기도",고양시_재차인원!$K$4:$K$20,0),MATCH('A.일산테크노밸리(859991)_수정'!DP$94,고양시_재차인원!$K$4:$O$4,0))</f>
        <v>5.2496832128200513E-3</v>
      </c>
      <c r="DQ99" s="267">
        <f>INDEX($BQ$93:$CD$106,MATCH($CW99,$L$93:$L$106,0),MATCH(DQ$94,$BQ$94:$CD$94,0))/INDEX(고양시_재차인원!$K$4:$O$20,MATCH("경기도",고양시_재차인원!$K$4:$K$20,0),MATCH('A.일산테크노밸리(859991)_수정'!DQ$94,고양시_재차인원!$K$4:$O$4,0))</f>
        <v>3.7777848879829481E-4</v>
      </c>
      <c r="DR99" s="269">
        <f t="shared" si="60"/>
        <v>755.91916270302193</v>
      </c>
      <c r="DS99" s="270">
        <f t="shared" si="52"/>
        <v>6.4232079739958321E-3</v>
      </c>
      <c r="DT99" s="270">
        <f t="shared" si="53"/>
        <v>3.3269398034043394</v>
      </c>
      <c r="DU99" s="270">
        <f t="shared" si="54"/>
        <v>82.140718089896737</v>
      </c>
      <c r="DW99" s="278"/>
      <c r="DX99" s="278" t="s">
        <v>592</v>
      </c>
      <c r="DY99" s="281">
        <f t="shared" si="61"/>
        <v>838.05988079291865</v>
      </c>
      <c r="DZ99" s="281">
        <f t="shared" si="62"/>
        <v>3.333363011378335</v>
      </c>
      <c r="EC99" s="412" t="s">
        <v>15</v>
      </c>
      <c r="ED99" s="412" t="s">
        <v>570</v>
      </c>
      <c r="EE99" s="412">
        <v>24085.599100000003</v>
      </c>
      <c r="EF99" s="412">
        <v>0.11186292027724311</v>
      </c>
      <c r="EG99" s="413">
        <v>859006</v>
      </c>
      <c r="EH99" s="414">
        <f t="shared" si="55"/>
        <v>840.28050176556098</v>
      </c>
      <c r="EI99" s="415">
        <f t="shared" si="56"/>
        <v>3.3421954778668792</v>
      </c>
      <c r="EJ99" s="402">
        <v>0</v>
      </c>
      <c r="EM99" s="278" t="s">
        <v>15</v>
      </c>
      <c r="EN99" s="278" t="s">
        <v>570</v>
      </c>
      <c r="EO99" s="278">
        <v>24085.599100000003</v>
      </c>
      <c r="EP99" s="278">
        <v>0.11186292027724311</v>
      </c>
      <c r="EQ99" s="289">
        <v>859006</v>
      </c>
      <c r="ER99" s="290">
        <f t="shared" si="37"/>
        <v>840.28050176556098</v>
      </c>
      <c r="ES99" s="291">
        <f t="shared" si="38"/>
        <v>3.3421954778668792</v>
      </c>
      <c r="ET99" s="402">
        <v>0</v>
      </c>
      <c r="EV99" s="34"/>
      <c r="EW99" s="34"/>
      <c r="EX99" s="34"/>
      <c r="EY99" s="34"/>
      <c r="EZ99" s="378"/>
      <c r="FA99" s="401"/>
      <c r="FB99" s="402"/>
      <c r="FC99" s="402"/>
    </row>
    <row r="100" spans="1:159" ht="25">
      <c r="A100" s="205"/>
      <c r="B100" s="205" t="s">
        <v>17</v>
      </c>
      <c r="C100" s="400">
        <f>'A.일산테크노밸리(859991)_수정'!$P33*KTDB_TripDistribution_2045!T$12 * (1+KTDB_발생량도착량_증가율!$D$8 *5) * (1+KTDB_발생량도착량_증가율!$E$8 *5) * (1+KTDB_발생량도착량_증가율!$F$8 *5) * (1+KTDB_발생량도착량_증가율!$G$8 *5)</f>
        <v>280.37657277395516</v>
      </c>
      <c r="D100" s="400">
        <f>'A.일산테크노밸리(859991)_수정'!$P33*KTDB_TripDistribution_2045!U$12 * (1+KTDB_발생량도착량_증가율!$D$8 *5) * (1+KTDB_발생량도착량_증가율!$E$8 *5) * (1+KTDB_발생량도착량_증가율!$F$8 *5) * (1+KTDB_발생량도착량_증가율!$G$8 *5)</f>
        <v>2029.1426170816226</v>
      </c>
      <c r="E100" s="400">
        <f>'A.일산테크노밸리(859991)_수정'!$P33*KTDB_TripDistribution_2045!V$12 * (1+KTDB_발생량도착량_증가율!$D$8 *5) * (1+KTDB_발생량도착량_증가율!$E$8 *5) * (1+KTDB_발생량도착량_증가율!$F$8 *5) * (1+KTDB_발생량도착량_증가율!$G$8 *5)</f>
        <v>116.40688939223135</v>
      </c>
      <c r="F100" s="400">
        <f>'A.일산테크노밸리(859991)_수정'!$P33*KTDB_TripDistribution_2045!W$12 * (1+KTDB_발생량도착량_증가율!$D$8 *5) * (1+KTDB_발생량도착량_증가율!$E$8 *5) * (1+KTDB_발생량도착량_증가율!$F$8 *5) * (1+KTDB_발생량도착량_증가율!$G$8 *5)</f>
        <v>0.18293382303650849</v>
      </c>
      <c r="G100" s="400">
        <f>'A.일산테크노밸리(859991)_수정'!$P33*KTDB_TripDistribution_2045!X$12 * (1+KTDB_발생량도착량_증가율!$D$8 *5) * (1+KTDB_발생량도착량_증가율!$E$8 *5) * (1+KTDB_발생량도착량_증가율!$F$8 *5) * (1+KTDB_발생량도착량_증가율!$G$8 *5)</f>
        <v>0.69108333147125378</v>
      </c>
      <c r="H100" s="400">
        <f>'A.일산테크노밸리(859991)_수정'!$P33*KTDB_TripDistribution_2045!Y$12 * (1+KTDB_발생량도착량_증가율!$D$8 *5) * (1+KTDB_발생량도착량_증가율!$E$8 *5) * (1+KTDB_발생량도착량_증가율!$F$8 *5) * (1+KTDB_발생량도착량_증가율!$G$8 *5)</f>
        <v>2426.8000964023167</v>
      </c>
      <c r="J100" s="230">
        <f t="shared" si="57"/>
        <v>2426.8000964023167</v>
      </c>
      <c r="K100" s="206"/>
      <c r="L100" s="209" t="s">
        <v>17</v>
      </c>
      <c r="M100" s="213">
        <f>INDEX($A$94:$H$106,MATCH($L100,$B$94:$B$106,0),MATCH($M$93,$A$94:$H$94,0))*고양시_Modal_split!C$3 * 0.01</f>
        <v>0.78505440376707447</v>
      </c>
      <c r="N100" s="213">
        <f>INDEX($A$94:$H$106,MATCH($L100,$B$94:$B$106,0),MATCH($M$93,$A$94:$H$94,0))*고양시_Modal_split!D$3 * 0.01</f>
        <v>131.86110217559113</v>
      </c>
      <c r="O100" s="213">
        <f>INDEX($A$94:$H$106,MATCH($L100,$B$94:$B$106,0),MATCH($M$93,$A$94:$H$94,0))*고양시_Modal_split!E$3 * 0.01</f>
        <v>15.953426990838048</v>
      </c>
      <c r="P100" s="213">
        <f>INDEX($A$94:$H$106,MATCH($L100,$B$94:$B$106,0),MATCH($M$93,$A$94:$H$94,0))*고양시_Modal_split!F$3 * 0.01</f>
        <v>25.710531723371687</v>
      </c>
      <c r="Q100" s="213">
        <f>INDEX($A$94:$H$106,MATCH($L100,$B$94:$B$106,0),MATCH($M$93,$A$94:$H$94,0))*고양시_Modal_split!G$3 * 0.01</f>
        <v>2.5794644695203877</v>
      </c>
      <c r="R100" s="213">
        <f>INDEX($A$94:$H$106,MATCH($L100,$B$94:$B$106,0),MATCH($M$93,$A$94:$H$94,0))*고양시_Modal_split!H$3 * 0.01</f>
        <v>2.8037657277395517E-2</v>
      </c>
      <c r="S100" s="213">
        <f>INDEX($A$94:$H$106,MATCH($L100,$B$94:$B$106,0),MATCH($M$93,$A$94:$H$94,0))*고양시_Modal_split!I$3 * 0.01</f>
        <v>7.7944687231159531</v>
      </c>
      <c r="T100" s="213">
        <f>INDEX($A$94:$H$106,MATCH($L100,$B$94:$B$106,0),MATCH($M$93,$A$94:$H$94,0))*고양시_Modal_split!J$3 * 0.01</f>
        <v>85.34662875239195</v>
      </c>
      <c r="U100" s="213">
        <f>INDEX($A$94:$H$106,MATCH($L100,$B$94:$B$106,0),MATCH($M$93,$A$94:$H$94,0))*고양시_Modal_split!K$3 * 0.01</f>
        <v>0.42056485916093272</v>
      </c>
      <c r="V100" s="213">
        <f>INDEX($A$94:$H$106,MATCH($L100,$B$94:$B$106,0),MATCH($M$93,$A$94:$H$94,0))*고양시_Modal_split!L$3 * 0.01</f>
        <v>8.4673724977734466</v>
      </c>
      <c r="W100" s="213">
        <f>INDEX($A$94:$H$106,MATCH($L100,$B$94:$B$106,0),MATCH($M$93,$A$94:$H$94,0))*고양시_Modal_split!M$3 * 0.01</f>
        <v>0.64486611738009691</v>
      </c>
      <c r="X100" s="213">
        <f>INDEX($A$94:$H$106,MATCH($L100,$B$94:$B$106,0),MATCH($M$93,$A$94:$H$94,0))*고양시_Modal_split!N$3 * 0.01</f>
        <v>0.28037657277395517</v>
      </c>
      <c r="Y100" s="213">
        <f>INDEX($A$94:$H$106,MATCH($L100,$B$94:$B$106,0),MATCH($M$93,$A$94:$H$94,0))*고양시_Modal_split!O$3 * 0.01</f>
        <v>0.50467783099311936</v>
      </c>
      <c r="Z100" s="213">
        <f>INDEX($A$94:$H$106,MATCH($L100,$B$94:$B$106,0),MATCH($M$93,$A$94:$H$94,0))*고양시_Modal_split!P$3 * 0.01</f>
        <v>280.37657277395516</v>
      </c>
      <c r="AA100" s="213">
        <f>INDEX($A$94:$H$106,MATCH($L100,$B$94:$B$106,0),MATCH($AA$93,$A$94:$H$94,0))*고양시_Modal_split!C$4 * 0.01</f>
        <v>617.67101263964594</v>
      </c>
      <c r="AB100" s="213">
        <f>INDEX($A$94:$H$106,MATCH($L100,$B$94:$B$106,0),MATCH($AA$93,$A$94:$H$94,0))*고양시_Modal_split!D$4 * 0.01</f>
        <v>650.74603729807632</v>
      </c>
      <c r="AC100" s="213">
        <f>INDEX($A$94:$H$106,MATCH($L100,$B$94:$B$106,0),MATCH($AA$93,$A$94:$H$94,0))*고양시_Modal_split!E$4 * 0.01</f>
        <v>157.66438134724208</v>
      </c>
      <c r="AD100" s="213">
        <f>INDEX($A$94:$H$106,MATCH($L100,$B$94:$B$106,0),MATCH($AA$93,$A$94:$H$94,0))*고양시_Modal_split!F$4 * 0.01</f>
        <v>19.276854862275414</v>
      </c>
      <c r="AE100" s="213">
        <f>INDEX($A$94:$H$106,MATCH($L100,$B$94:$B$106,0),MATCH($AA$93,$A$94:$H$94,0))*고양시_Modal_split!G$4 * 0.01</f>
        <v>237.61260046025799</v>
      </c>
      <c r="AF100" s="213">
        <f>INDEX($A$94:$H$106,MATCH($L100,$B$94:$B$106,0),MATCH($AA$93,$A$94:$H$94,0))*고양시_Modal_split!H$4 * 0.01</f>
        <v>0</v>
      </c>
      <c r="AG100" s="213">
        <f>INDEX($A$94:$H$106,MATCH($L100,$B$94:$B$106,0),MATCH($AA$93,$A$94:$H$94,0))*고양시_Modal_split!I$4 * 0.01</f>
        <v>70.614163074440455</v>
      </c>
      <c r="AH100" s="213">
        <f>INDEX($A$94:$H$106,MATCH($L100,$B$94:$B$106,0),MATCH($AA$93,$A$94:$H$94,0))*고양시_Modal_split!J$4 * 0.01</f>
        <v>95.572617264544419</v>
      </c>
      <c r="AI100" s="213">
        <f>INDEX($A$94:$H$106,MATCH($L100,$B$94:$B$106,0),MATCH($AA$93,$A$94:$H$94,0))*고양시_Modal_split!K$4 * 0.01</f>
        <v>0</v>
      </c>
      <c r="AJ100" s="213">
        <f>INDEX($A$94:$H$106,MATCH($L100,$B$94:$B$106,0),MATCH($AA$93,$A$94:$H$94,0))*고양시_Modal_split!L$4 * 0.01</f>
        <v>93.74638890917096</v>
      </c>
      <c r="AK100" s="213">
        <f>INDEX($A$94:$H$106,MATCH($L100,$B$94:$B$106,0),MATCH($AA$93,$A$94:$H$94,0))*고양시_Modal_split!M$4 * 0.01</f>
        <v>13.595255534446872</v>
      </c>
      <c r="AL100" s="213">
        <f>INDEX($A$94:$H$106,MATCH($L100,$B$94:$B$106,0),MATCH($AA$93,$A$94:$H$94,0))*고양시_Modal_split!N$4 * 0.01</f>
        <v>50.728565427040564</v>
      </c>
      <c r="AM100" s="213">
        <f>INDEX($A$94:$H$106,MATCH($L100,$B$94:$B$106,0),MATCH($AA$93,$A$94:$H$94,0))*고양시_Modal_split!O$4 * 0.01</f>
        <v>21.914740264481527</v>
      </c>
      <c r="AN100" s="213">
        <f>INDEX($A$94:$H$106,MATCH($L100,$B$94:$B$106,0),MATCH($AA$93,$A$94:$H$94,0))*고양시_Modal_split!P$4 * 0.01</f>
        <v>2029.1426170816226</v>
      </c>
      <c r="AO100" s="213">
        <f>INDEX($A$94:$H$106,MATCH($L100,$B$94:$B$106,0),MATCH($AO$93,$A$94:$H$94,0))*고양시_Modal_split!C$5 * 0.01</f>
        <v>6.9844133635338798E-2</v>
      </c>
      <c r="AP100" s="213">
        <f>INDEX($A$94:$H$106,MATCH($L100,$B$94:$B$106,0),MATCH($AO$93,$A$94:$H$94,0))*고양시_Modal_split!D$5 * 0.01</f>
        <v>85.302968546627127</v>
      </c>
      <c r="AQ100" s="213">
        <f>INDEX($A$94:$H$106,MATCH($L100,$B$94:$B$106,0),MATCH($AO$93,$A$94:$H$94,0))*고양시_Modal_split!E$5 * 0.01</f>
        <v>11.466078605134788</v>
      </c>
      <c r="AR100" s="213">
        <f>INDEX($A$94:$H$106,MATCH($L100,$B$94:$B$106,0),MATCH($AO$93,$A$94:$H$94,0))*고양시_Modal_split!F$5 * 0.01</f>
        <v>2.4445446772368586</v>
      </c>
      <c r="AS100" s="213">
        <f>INDEX($A$94:$H$106,MATCH($L100,$B$94:$B$106,0),MATCH($AO$93,$A$94:$H$94,0))*고양시_Modal_split!G$5 * 0.01</f>
        <v>0.75664478104950383</v>
      </c>
      <c r="AT100" s="213">
        <f>INDEX($A$94:$H$106,MATCH($L100,$B$94:$B$106,0),MATCH($AO$93,$A$94:$H$94,0))*고양시_Modal_split!H$5 * 0.01</f>
        <v>8.1484822574561924E-2</v>
      </c>
      <c r="AU100" s="213">
        <f>INDEX($A$94:$H$106,MATCH($L100,$B$94:$B$106,0),MATCH($AO$93,$A$94:$H$94,0))*고양시_Modal_split!I$5 * 0.01</f>
        <v>3.2244708361648082</v>
      </c>
      <c r="AV100" s="213">
        <f>INDEX($A$94:$H$106,MATCH($L100,$B$94:$B$106,0),MATCH($AO$93,$A$94:$H$94,0))*고양시_Modal_split!J$5 * 0.01</f>
        <v>7.298711964892906</v>
      </c>
      <c r="AW100" s="213">
        <f>INDEX($A$94:$H$106,MATCH($L100,$B$94:$B$106,0),MATCH($AO$93,$A$94:$H$94,0))*고양시_Modal_split!K$5 * 0.01</f>
        <v>2.3281377878446273E-2</v>
      </c>
      <c r="AX100" s="213">
        <f>INDEX($A$94:$H$106,MATCH($L100,$B$94:$B$106,0),MATCH($AO$93,$A$94:$H$94,0))*고양시_Modal_split!L$5 * 0.01</f>
        <v>2.9683756795018992</v>
      </c>
      <c r="AY100" s="213">
        <f>INDEX($A$94:$H$106,MATCH($L100,$B$94:$B$106,0),MATCH($AO$93,$A$94:$H$94,0))*고양시_Modal_split!M$5 * 0.01</f>
        <v>0.77992615892795014</v>
      </c>
      <c r="AZ100" s="213">
        <f>INDEX($A$94:$H$106,MATCH($L100,$B$94:$B$106,0),MATCH($AO$93,$A$94:$H$94,0))*고양시_Modal_split!N$5 * 0.01</f>
        <v>0.19789171196679328</v>
      </c>
      <c r="BA100" s="213">
        <f>INDEX($A$94:$H$106,MATCH($L100,$B$94:$B$106,0),MATCH($AO$93,$A$94:$H$94,0))*고양시_Modal_split!O$5 * 0.01</f>
        <v>1.7926660966403629</v>
      </c>
      <c r="BB100" s="213">
        <f>INDEX($A$94:$H$106,MATCH($L100,$B$94:$B$106,0),MATCH($AO$93,$A$94:$H$94,0))*고양시_Modal_split!P$5 * 0.01</f>
        <v>116.40688939223134</v>
      </c>
      <c r="BC100" s="213">
        <f>INDEX($A$94:$H$106,MATCH($L100,$B$94:$B$106,0),MATCH($BC$93,$A$94:$H$94,0))*고양시_Modal_split!C$6 * 0.01</f>
        <v>0</v>
      </c>
      <c r="BD100" s="207">
        <f>INDEX($A$94:$H$106,MATCH($L100,$B$94:$B$106,0),MATCH($BC$93,$A$94:$H$94,0))*고양시_Modal_split!D$6 * 0.01</f>
        <v>0.15148749885653265</v>
      </c>
      <c r="BE100" s="207">
        <f>INDEX($A$94:$H$106,MATCH($L100,$B$94:$B$106,0),MATCH($BC$93,$A$94:$H$94,0))*고양시_Modal_split!E$6 * 0.01</f>
        <v>7.8661543905698646E-4</v>
      </c>
      <c r="BF100" s="207">
        <f>INDEX($A$94:$H$106,MATCH($L100,$B$94:$B$106,0),MATCH($BC$93,$A$94:$H$94,0))*고양시_Modal_split!F$6 * 0.01</f>
        <v>2.2317926410454036E-3</v>
      </c>
      <c r="BG100" s="207">
        <f>INDEX($A$94:$H$106,MATCH($L100,$B$94:$B$106,0),MATCH($BC$93,$A$94:$H$94,0))*고양시_Modal_split!G$6 * 0.01</f>
        <v>0</v>
      </c>
      <c r="BH100" s="207">
        <f>INDEX($A$94:$H$106,MATCH($L100,$B$94:$B$106,0),MATCH($BC$93,$A$94:$H$94,0))*고양시_Modal_split!H$6 * 0.01</f>
        <v>9.7137860032386024E-3</v>
      </c>
      <c r="BI100" s="207">
        <f>INDEX($A$94:$H$106,MATCH($L100,$B$94:$B$106,0),MATCH($BC$93,$A$94:$H$94,0))*고양시_Modal_split!I$6 * 0.01</f>
        <v>6.475857335492401E-3</v>
      </c>
      <c r="BJ100" s="207">
        <f>INDEX($A$94:$H$106,MATCH($L100,$B$94:$B$106,0),MATCH($BC$93,$A$94:$H$94,0))*고양시_Modal_split!J$6 * 0.01</f>
        <v>9.0369308580035175E-3</v>
      </c>
      <c r="BK100" s="207">
        <f>INDEX($A$94:$H$106,MATCH($L100,$B$94:$B$106,0),MATCH($BC$93,$A$94:$H$94,0))*고양시_Modal_split!K$6 * 0.01</f>
        <v>0</v>
      </c>
      <c r="BL100" s="207">
        <f>INDEX($A$94:$H$106,MATCH($L100,$B$94:$B$106,0),MATCH($BC$93,$A$94:$H$94,0))*고양시_Modal_split!L$6 * 0.01</f>
        <v>1.3902970550774647E-3</v>
      </c>
      <c r="BM100" s="207">
        <f>INDEX($A$94:$H$106,MATCH($L100,$B$94:$B$106,0),MATCH($BC$93,$A$94:$H$94,0))*고양시_Modal_split!M$6 * 0.01</f>
        <v>1.6646977896322274E-3</v>
      </c>
      <c r="BN100" s="207">
        <f>INDEX($A$94:$H$106,MATCH($L100,$B$94:$B$106,0),MATCH($BC$93,$A$94:$H$94,0))*고양시_Modal_split!N$6 * 0.01</f>
        <v>0</v>
      </c>
      <c r="BO100" s="207">
        <f>INDEX($A$94:$H$106,MATCH($L100,$B$94:$B$106,0),MATCH($BC$93,$A$94:$H$94,0))*고양시_Modal_split!O$6 * 0.01</f>
        <v>1.463470584292068E-4</v>
      </c>
      <c r="BP100" s="214">
        <f>INDEX($A$94:$H$106,MATCH($L100,$B$94:$B$106,0),MATCH($BC$93,$A$94:$H$94,0))*고양시_Modal_split!P$6 * 0.01</f>
        <v>0.18293382303650849</v>
      </c>
      <c r="BQ100" s="213">
        <f>INDEX($A$94:$H$106,MATCH($L100,$B$94:$B$106,0),MATCH($BQ$93,$A$94:$H$94,0))*고양시_Modal_split!C$7 * 0.01</f>
        <v>0</v>
      </c>
      <c r="BR100" s="213">
        <f>INDEX($A$94:$H$106,MATCH($L100,$B$94:$B$106,0),MATCH($BQ$93,$A$94:$H$94,0))*고양시_Modal_split!D$7 * 0.01</f>
        <v>0.42349586552558438</v>
      </c>
      <c r="BS100" s="213">
        <f>INDEX($A$94:$H$106,MATCH($L100,$B$94:$B$106,0),MATCH($BQ$93,$A$94:$H$94,0))*고양시_Modal_split!E$7 * 0.01</f>
        <v>2.0663391610990484E-2</v>
      </c>
      <c r="BT100" s="213">
        <f>INDEX($A$94:$H$106,MATCH($L100,$B$94:$B$106,0),MATCH($BQ$93,$A$94:$H$94,0))*고양시_Modal_split!F$7 * 0.01</f>
        <v>6.9108333147125381E-3</v>
      </c>
      <c r="BU100" s="213">
        <f>INDEX($A$94:$H$106,MATCH($L100,$B$94:$B$106,0),MATCH($BQ$93,$A$94:$H$94,0))*고양시_Modal_split!G$7 * 0.01</f>
        <v>2.9025499921792658E-3</v>
      </c>
      <c r="BV100" s="213">
        <f>INDEX($A$94:$H$106,MATCH($L100,$B$94:$B$106,0),MATCH($BQ$93,$A$94:$H$94,0))*고양시_Modal_split!H$7 * 0.01</f>
        <v>3.8631558229243086E-2</v>
      </c>
      <c r="BW100" s="213">
        <f>INDEX($A$94:$H$106,MATCH($L100,$B$94:$B$106,0),MATCH($BQ$93,$A$94:$H$94,0))*고양시_Modal_split!I$7 * 0.01</f>
        <v>0.1290252579856831</v>
      </c>
      <c r="BX100" s="213">
        <f>INDEX($A$94:$H$106,MATCH($L100,$B$94:$B$106,0),MATCH($BQ$93,$A$94:$H$94,0))*고양시_Modal_split!J$7 * 0.01</f>
        <v>1.3821666629425076E-4</v>
      </c>
      <c r="BY100" s="213">
        <f>INDEX($A$94:$H$106,MATCH($L100,$B$94:$B$106,0),MATCH($BQ$93,$A$94:$H$94,0))*고양시_Modal_split!K$7 * 0.01</f>
        <v>5.3213416523286546E-2</v>
      </c>
      <c r="BZ100" s="213">
        <f>INDEX($A$94:$H$106,MATCH($L100,$B$94:$B$106,0),MATCH($BQ$93,$A$94:$H$94,0))*고양시_Modal_split!L$7 * 0.01</f>
        <v>4.8375833202987759E-4</v>
      </c>
      <c r="CA100" s="213">
        <f>INDEX($A$94:$H$106,MATCH($L100,$B$94:$B$106,0),MATCH($BQ$93,$A$94:$H$94,0))*고양시_Modal_split!M$7 * 0.01</f>
        <v>1.2923258298512446E-2</v>
      </c>
      <c r="CB100" s="213">
        <f>INDEX($A$94:$H$106,MATCH($L100,$B$94:$B$106,0),MATCH($BQ$93,$A$94:$H$94,0))*고양시_Modal_split!N$7 * 0.01</f>
        <v>2.6952249927378897E-3</v>
      </c>
      <c r="CC100" s="213">
        <f>INDEX($A$94:$H$106,MATCH($L100,$B$94:$B$106,0),MATCH($BQ$93,$A$94:$H$94,0))*고양시_Modal_split!O$7 * 0.01</f>
        <v>0</v>
      </c>
      <c r="CD100" s="213">
        <f>INDEX($A$94:$H$106,MATCH($L100,$B$94:$B$106,0),MATCH($BQ$93,$A$94:$H$94,0))*고양시_Modal_split!P$7 * 0.01</f>
        <v>0.69108333147125378</v>
      </c>
      <c r="CE100" s="218">
        <f t="shared" si="58"/>
        <v>618.52591117704833</v>
      </c>
      <c r="CF100" s="208">
        <f t="shared" si="39"/>
        <v>868.48509138467671</v>
      </c>
      <c r="CG100" s="208">
        <f t="shared" si="40"/>
        <v>185.10533695026496</v>
      </c>
      <c r="CH100" s="208">
        <f t="shared" si="41"/>
        <v>47.441073888839718</v>
      </c>
      <c r="CI100" s="208">
        <f t="shared" si="42"/>
        <v>240.95161226082007</v>
      </c>
      <c r="CJ100" s="208">
        <f t="shared" si="43"/>
        <v>0.15786782408443914</v>
      </c>
      <c r="CK100" s="208">
        <f t="shared" si="44"/>
        <v>81.768603749042398</v>
      </c>
      <c r="CL100" s="208">
        <f t="shared" si="45"/>
        <v>188.22713312935358</v>
      </c>
      <c r="CM100" s="208">
        <f t="shared" si="46"/>
        <v>0.49705965356266552</v>
      </c>
      <c r="CN100" s="208">
        <f t="shared" si="47"/>
        <v>105.18401114183341</v>
      </c>
      <c r="CO100" s="208">
        <f t="shared" si="48"/>
        <v>15.034635766843063</v>
      </c>
      <c r="CP100" s="208">
        <f t="shared" si="49"/>
        <v>51.209528936774042</v>
      </c>
      <c r="CQ100" s="208">
        <f t="shared" si="50"/>
        <v>24.21223053917344</v>
      </c>
      <c r="CR100" s="219">
        <f t="shared" si="51"/>
        <v>2426.8000964023167</v>
      </c>
      <c r="CS100" s="225">
        <f t="shared" si="59"/>
        <v>0</v>
      </c>
      <c r="CV100" s="265"/>
      <c r="CW100" s="266" t="s">
        <v>17</v>
      </c>
      <c r="CX100" s="267">
        <f>INDEX($M$93:$Z$106,MATCH($CW100,$L$93:$L$106,0),MATCH(CX$94,$M$94:$Z$94,0))/INDEX(고양시_재차인원!$D$4:$H$35,MATCH("고양시",고양시_재차인원!$B$4:$B$35,0),MATCH('A.일산테크노밸리(859991)_수정'!$CX$93,고양시_재차인원!$D$4:$H$4,0))</f>
        <v>117.73312694249206</v>
      </c>
      <c r="CY100" s="267">
        <f>INDEX($M$93:$Z$106,MATCH($CW100,$L$93:$L$106,0),MATCH(CY$94,$M$94:$Z$94,0))/INDEX(고양시_재차인원!$K$4:$O$20,MATCH("경기도",고양시_재차인원!$K$4:$K$20,0),MATCH('A.일산테크노밸리(859991)_수정'!CY$94,고양시_재차인원!$K$4:$O$4,0))</f>
        <v>9.7386791515788524E-4</v>
      </c>
      <c r="CZ100" s="267">
        <f>INDEX($M$93:$Z$106,MATCH($CW100,$L$93:$L$106,0),MATCH(CZ$94,$M$94:$Z$94,0))/INDEX(고양시_재차인원!$K$4:$O$20,MATCH("경기도",고양시_재차인원!$K$4:$K$20,0),MATCH('A.일산테크노밸리(859991)_수정'!CZ$94,고양시_재차인원!$K$4:$O$4,0))</f>
        <v>0.27073528041389211</v>
      </c>
      <c r="DA100" s="267">
        <f>INDEX($M$93:$Z$106,MATCH($CW100,$L$93:$L$106,0),MATCH(DA$94,$M$94:$Z$94,0))/INDEX(고양시_재차인원!$K$4:$O$20,MATCH("경기도",고양시_재차인원!$K$4:$K$20,0),MATCH('A.일산테크노밸리(859991)_수정'!DA$94,고양시_재차인원!$K$4:$O$4,0))</f>
        <v>5.6449149985156311</v>
      </c>
      <c r="DB100" s="268">
        <f>INDEX($AA$93:$AN$106,MATCH($CW100,$L$93:$L$106,0),MATCH(DB$94,$AA$94:$AN$94,0))/INDEX(고양시_재차인원!$D$4:$H$35,MATCH("고양시",고양시_재차인원!$B$4:$B$35,0),MATCH('A.일산테크노밸리(859991)_수정'!$DB$93,고양시_재차인원!$D$4:$H$4,0))</f>
        <v>461.52201226813924</v>
      </c>
      <c r="DC100" s="267">
        <f>INDEX($AA$93:$AN$106,MATCH($CW100,$L$93:$L$106,0),MATCH(DC$94,$AA$94:$AN$94,0))/INDEX(고양시_재차인원!$K$4:$O$20,MATCH("경기도",고양시_재차인원!$K$4:$K$20,0),MATCH('A.일산테크노밸리(859991)_수정'!DC$94,고양시_재차인원!$K$4:$O$4,0))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0" s="267">
        <f>INDEX($AA$93:$AN$106,MATCH($CW100,$L$93:$L$106,0),MATCH(DD$94,$AA$94:$AN$94,0))/INDEX(고양시_재차인원!$K$4:$O$20,MATCH("경기도",고양시_재차인원!$K$4:$K$20,0),MATCH('A.일산테크노밸리(859991)_수정'!DD$94,고양시_재차인원!$K$4:$O$4,0))</f>
        <v>2.4527323054685812</v>
      </c>
      <c r="DE100" s="267">
        <f>INDEX($AA$93:$AN$106,MATCH($CW100,$L$93:$L$106,0),MATCH(DE$94,$AA$94:$AN$94,0))/INDEX(고양시_재차인원!$K$4:$O$20,MATCH("경기도",고양시_재차인원!$K$4:$K$20,0),MATCH('A.일산테크노밸리(859991)_수정'!DE$94,고양시_재차인원!$K$4:$O$4,0))</f>
        <v>62.497592606113976</v>
      </c>
      <c r="DF100" s="268">
        <f>INDEX($AO$93:$BB$106,MATCH($CW100,$L$93:$L$106,0),MATCH(DF$94,$AO$94:$BB$94,0))/INDEX(고양시_재차인원!$D$4:$H$35,MATCH("고양시",고양시_재차인원!$B$4:$B$35,0),MATCH('A.일산테크노밸리(859991)_수정'!$DF$93,고양시_재차인원!$D$4:$H$4,0))</f>
        <v>65.617668112790099</v>
      </c>
      <c r="DG100" s="267">
        <f>INDEX($AO$93:$BB$106,MATCH($CW100,$L$93:$L$106,0),MATCH(DG$94,$AO$94:$BB$94,0))/INDEX(고양시_재차인원!$K$4:$O$20,MATCH("경기도",고양시_재차인원!$K$4:$K$20,0),MATCH('A.일산테크노밸리(859991)_수정'!DG$94,고양시_재차인원!$K$4:$O$4,0))</f>
        <v>2.8303168660841239E-3</v>
      </c>
      <c r="DH100" s="267">
        <f>INDEX($AO$93:$BB$106,MATCH($CW100,$L$93:$L$106,0),MATCH(DH$94,$AO$94:$BB$94,0))/INDEX(고양시_재차인원!$K$4:$O$20,MATCH("경기도",고양시_재차인원!$K$4:$K$20,0),MATCH('A.일산테크노밸리(859991)_수정'!DH$94,고양시_재차인원!$K$4:$O$4,0))</f>
        <v>0.1119996817007575</v>
      </c>
      <c r="DI100" s="267">
        <f>INDEX($AO$93:$BB$106,MATCH($CW100,$L$93:$L$106,0),MATCH(DI$94,$AO$94:$BB$94,0))/INDEX(고양시_재차인원!$K$4:$O$20,MATCH("경기도",고양시_재차인원!$K$4:$K$20,0),MATCH('A.일산테크노밸리(859991)_수정'!DI$94,고양시_재차인원!$K$4:$O$4,0))</f>
        <v>1.9789171196679327</v>
      </c>
      <c r="DJ100" s="268">
        <f>INDEX($BC$93:$BP$106,MATCH($CW100,$L$93:$L$106,0),MATCH(DJ$94,$BC$94:$BP$94,0))/INDEX(고양시_재차인원!$D$4:$H$35,MATCH("고양시",고양시_재차인원!$B$4:$B$35,0),MATCH('A.일산테크노밸리(859991)_수정'!$DJ$93,고양시_재차인원!$D$4:$H$4,0))</f>
        <v>0.11138786680627399</v>
      </c>
      <c r="DK100" s="267">
        <f>INDEX($BC$93:$BP$106,MATCH($CW100,$L$93:$L$106,0),MATCH(DK$94,$BC$94:$BP$94,0))/INDEX(고양시_재차인원!$K$4:$O$20,MATCH("경기도",고양시_재차인원!$K$4:$K$20,0),MATCH('A.일산테크노밸리(859991)_수정'!DK$94,고양시_재차인원!$K$4:$O$4,0))</f>
        <v>3.3740138948380001E-4</v>
      </c>
      <c r="DL100" s="267">
        <f>INDEX($BC$93:$BP$106,MATCH($CW100,$L$93:$L$106,0),MATCH(DL$94,$BC$94:$BP$94,0))/INDEX(고양시_재차인원!$K$4:$O$20,MATCH("경기도",고양시_재차인원!$K$4:$K$20,0),MATCH('A.일산테크노밸리(859991)_수정'!DL$94,고양시_재차인원!$K$4:$O$4,0))</f>
        <v>2.2493425965586667E-4</v>
      </c>
      <c r="DM100" s="267">
        <f>INDEX($BC$93:$BP$106,MATCH($CW100,$L$93:$L$106,0),MATCH(DM$94,$BC$94:$BP$94,0))/INDEX(고양시_재차인원!$K$4:$O$20,MATCH("경기도",고양시_재차인원!$K$4:$K$20,0),MATCH('A.일산테크노밸리(859991)_수정'!DM$94,고양시_재차인원!$K$4:$O$4,0))</f>
        <v>9.2686470338497647E-4</v>
      </c>
      <c r="DN100" s="268">
        <f>INDEX($BQ$93:$CD$106,MATCH($CW100,$L$93:$L$106,0),MATCH(DN$94,$BQ$94:$CD$94,0))/INDEX(고양시_재차인원!$D$4:$H$35,MATCH("고양시",고양시_재차인원!$B$4:$B$35,0),MATCH('A.일산테크노밸리(859991)_수정'!$DN$93,고양시_재차인원!$D$4:$H$4,0))</f>
        <v>0.33610782978220982</v>
      </c>
      <c r="DO100" s="267">
        <f>INDEX($BQ$93:$CD$106,MATCH($CW100,$L$93:$L$106,0),MATCH(DO$94,$BQ$94:$CD$94,0))/INDEX(고양시_재차인원!$K$4:$O$20,MATCH("경기도",고양시_재차인원!$K$4:$K$20,0),MATCH('A.일산테크노밸리(859991)_수정'!DO$94,고양시_재차인원!$K$4:$O$4,0))</f>
        <v>1.3418394661077835E-3</v>
      </c>
      <c r="DP100" s="267">
        <f>INDEX($BQ$93:$CD$106,MATCH($CW100,$L$93:$L$106,0),MATCH(DP$94,$BQ$94:$CD$94,0))/INDEX(고양시_재차인원!$K$4:$O$20,MATCH("경기도",고양시_재차인원!$K$4:$K$20,0),MATCH('A.일산테크노밸리(859991)_수정'!DP$94,고양시_재차인원!$K$4:$O$4,0))</f>
        <v>4.4815997910970162E-3</v>
      </c>
      <c r="DQ100" s="267">
        <f>INDEX($BQ$93:$CD$106,MATCH($CW100,$L$93:$L$106,0),MATCH(DQ$94,$BQ$94:$CD$94,0))/INDEX(고양시_재차인원!$K$4:$O$20,MATCH("경기도",고양시_재차인원!$K$4:$K$20,0),MATCH('A.일산테크노밸리(859991)_수정'!DQ$94,고양시_재차인원!$K$4:$O$4,0))</f>
        <v>3.2250555468658508E-4</v>
      </c>
      <c r="DR100" s="269">
        <f t="shared" si="60"/>
        <v>645.32030302000987</v>
      </c>
      <c r="DS100" s="270">
        <f t="shared" si="52"/>
        <v>5.4834256368335929E-3</v>
      </c>
      <c r="DT100" s="270">
        <f t="shared" si="53"/>
        <v>2.8401738016339841</v>
      </c>
      <c r="DU100" s="270">
        <f t="shared" si="54"/>
        <v>70.122674094555606</v>
      </c>
      <c r="DW100" s="278"/>
      <c r="DX100" s="278" t="s">
        <v>593</v>
      </c>
      <c r="DY100" s="281">
        <f t="shared" si="61"/>
        <v>715.44297711456545</v>
      </c>
      <c r="DZ100" s="281">
        <f t="shared" si="62"/>
        <v>2.8456572272708178</v>
      </c>
      <c r="EC100" s="412" t="s">
        <v>15</v>
      </c>
      <c r="ED100" s="412" t="s">
        <v>571</v>
      </c>
      <c r="EE100" s="412">
        <v>10713.892900000001</v>
      </c>
      <c r="EF100" s="412">
        <v>4.9759499124587728E-2</v>
      </c>
      <c r="EG100" s="413">
        <v>859007</v>
      </c>
      <c r="EH100" s="414">
        <f t="shared" si="55"/>
        <v>373.7783421743693</v>
      </c>
      <c r="EI100" s="415">
        <f t="shared" si="56"/>
        <v>1.4866943625550118</v>
      </c>
      <c r="EJ100" s="402">
        <v>0</v>
      </c>
      <c r="EM100" s="278" t="s">
        <v>15</v>
      </c>
      <c r="EN100" s="278" t="s">
        <v>571</v>
      </c>
      <c r="EO100" s="278">
        <v>10713.892900000001</v>
      </c>
      <c r="EP100" s="278">
        <v>4.9759499124587728E-2</v>
      </c>
      <c r="EQ100" s="289">
        <v>859007</v>
      </c>
      <c r="ER100" s="290">
        <f t="shared" si="37"/>
        <v>373.7783421743693</v>
      </c>
      <c r="ES100" s="291">
        <f t="shared" si="38"/>
        <v>1.4866943625550118</v>
      </c>
      <c r="ET100" s="402">
        <v>0</v>
      </c>
      <c r="EV100" s="34"/>
      <c r="EW100" s="34"/>
      <c r="EX100" s="34"/>
      <c r="EY100" s="34"/>
      <c r="EZ100" s="378"/>
      <c r="FA100" s="401"/>
      <c r="FB100" s="402"/>
      <c r="FC100" s="402"/>
    </row>
    <row r="101" spans="1:159" ht="37.5">
      <c r="A101" s="205" t="s">
        <v>491</v>
      </c>
      <c r="B101" s="203" t="s">
        <v>489</v>
      </c>
      <c r="C101" s="400">
        <f>'A.일산테크노밸리(859991)_수정'!$P34*KTDB_TripDistribution_2045!T$12 * (1+KTDB_발생량도착량_증가율!$D$8 *5) * (1+KTDB_발생량도착량_증가율!$E$8 *5) * (1+KTDB_발생량도착량_증가율!$F$8 *5) * (1+KTDB_발생량도착량_증가율!$G$8 *5)</f>
        <v>83.151919496299669</v>
      </c>
      <c r="D101" s="400">
        <f>'A.일산테크노밸리(859991)_수정'!$P34*KTDB_TripDistribution_2045!U$12 * (1+KTDB_발생량도착량_증가율!$D$8 *5) * (1+KTDB_발생량도착량_증가율!$E$8 *5) * (1+KTDB_발생량도착량_증가율!$F$8 *5) * (1+KTDB_발생량도착량_증가율!$G$8 *5)</f>
        <v>601.78745275595065</v>
      </c>
      <c r="E101" s="400">
        <f>'A.일산테크노밸리(859991)_수정'!$P34*KTDB_TripDistribution_2045!V$12 * (1+KTDB_발생량도착량_증가율!$D$8 *5) * (1+KTDB_발생량도착량_증가율!$E$8 *5) * (1+KTDB_발생량도착량_증가율!$F$8 *5) * (1+KTDB_발생량도착량_증가율!$G$8 *5)</f>
        <v>34.52305661557979</v>
      </c>
      <c r="F101" s="400">
        <f>'A.일산테크노밸리(859991)_수정'!$P34*KTDB_TripDistribution_2045!W$12 * (1+KTDB_발생량도착량_증가율!$D$8 *5) * (1+KTDB_발생량도착량_증가율!$E$8 *5) * (1+KTDB_발생량도착량_증가율!$F$8 *5) * (1+KTDB_발생량도착량_증가율!$G$8 *5)</f>
        <v>5.4253101019769281E-2</v>
      </c>
      <c r="G101" s="400">
        <f>'A.일산테크노밸리(859991)_수정'!$P34*KTDB_TripDistribution_2045!X$12 * (1+KTDB_발생량도착량_증가율!$D$8 *5) * (1+KTDB_발생량도착량_증가율!$E$8 *5) * (1+KTDB_발생량도착량_증가율!$F$8 *5) * (1+KTDB_발생량도착량_증가율!$G$8 *5)</f>
        <v>0.20495615940801712</v>
      </c>
      <c r="H101" s="400">
        <f>'A.일산테크노밸리(859991)_수정'!$P34*KTDB_TripDistribution_2045!Y$12 * (1+KTDB_발생량도착량_증가율!$D$8 *5) * (1+KTDB_발생량도착량_증가율!$E$8 *5) * (1+KTDB_발생량도착량_증가율!$F$8 *5) * (1+KTDB_발생량도착량_증가율!$G$8 *5)</f>
        <v>719.72163812825795</v>
      </c>
      <c r="J101" s="230">
        <f t="shared" si="57"/>
        <v>719.72163812825784</v>
      </c>
      <c r="K101" s="206" t="s">
        <v>433</v>
      </c>
      <c r="L101" s="210" t="s">
        <v>484</v>
      </c>
      <c r="M101" s="213">
        <f>INDEX($A$94:$H$106,MATCH($L101,$B$94:$B$106,0),MATCH($M$93,$A$94:$H$94,0))*고양시_Modal_split!C$3 * 0.01</f>
        <v>0.23282537458963906</v>
      </c>
      <c r="N101" s="213">
        <f>INDEX($A$94:$H$106,MATCH($L101,$B$94:$B$106,0),MATCH($M$93,$A$94:$H$94,0))*고양시_Modal_split!D$3 * 0.01</f>
        <v>39.106347739109736</v>
      </c>
      <c r="O101" s="213">
        <f>INDEX($A$94:$H$106,MATCH($L101,$B$94:$B$106,0),MATCH($M$93,$A$94:$H$94,0))*고양시_Modal_split!E$3 * 0.01</f>
        <v>4.7313442193394506</v>
      </c>
      <c r="P101" s="213">
        <f>INDEX($A$94:$H$106,MATCH($L101,$B$94:$B$106,0),MATCH($M$93,$A$94:$H$94,0))*고양시_Modal_split!F$3 * 0.01</f>
        <v>7.625031017810679</v>
      </c>
      <c r="Q101" s="213">
        <f>INDEX($A$94:$H$106,MATCH($L101,$B$94:$B$106,0),MATCH($M$93,$A$94:$H$94,0))*고양시_Modal_split!G$3 * 0.01</f>
        <v>0.76499765936595698</v>
      </c>
      <c r="R101" s="213">
        <f>INDEX($A$94:$H$106,MATCH($L101,$B$94:$B$106,0),MATCH($M$93,$A$94:$H$94,0))*고양시_Modal_split!H$3 * 0.01</f>
        <v>8.315191949629968E-3</v>
      </c>
      <c r="S101" s="213">
        <f>INDEX($A$94:$H$106,MATCH($L101,$B$94:$B$106,0),MATCH($M$93,$A$94:$H$94,0))*고양시_Modal_split!I$3 * 0.01</f>
        <v>2.3116233619971305</v>
      </c>
      <c r="T101" s="213">
        <f>INDEX($A$94:$H$106,MATCH($L101,$B$94:$B$106,0),MATCH($M$93,$A$94:$H$94,0))*고양시_Modal_split!J$3 * 0.01</f>
        <v>25.31144429467362</v>
      </c>
      <c r="U101" s="213">
        <f>INDEX($A$94:$H$106,MATCH($L101,$B$94:$B$106,0),MATCH($M$93,$A$94:$H$94,0))*고양시_Modal_split!K$3 * 0.01</f>
        <v>0.1247278792444495</v>
      </c>
      <c r="V101" s="213">
        <f>INDEX($A$94:$H$106,MATCH($L101,$B$94:$B$106,0),MATCH($M$93,$A$94:$H$94,0))*고양시_Modal_split!L$3 * 0.01</f>
        <v>2.5111879687882501</v>
      </c>
      <c r="W101" s="213">
        <f>INDEX($A$94:$H$106,MATCH($L101,$B$94:$B$106,0),MATCH($M$93,$A$94:$H$94,0))*고양시_Modal_split!M$3 * 0.01</f>
        <v>0.19124941484148925</v>
      </c>
      <c r="X101" s="213">
        <f>INDEX($A$94:$H$106,MATCH($L101,$B$94:$B$106,0),MATCH($M$93,$A$94:$H$94,0))*고양시_Modal_split!N$3 * 0.01</f>
        <v>8.3151919496299687E-2</v>
      </c>
      <c r="Y101" s="213">
        <f>INDEX($A$94:$H$106,MATCH($L101,$B$94:$B$106,0),MATCH($M$93,$A$94:$H$94,0))*고양시_Modal_split!O$3 * 0.01</f>
        <v>0.1496734550933394</v>
      </c>
      <c r="Z101" s="213">
        <f>INDEX($A$94:$H$106,MATCH($L101,$B$94:$B$106,0),MATCH($M$93,$A$94:$H$94,0))*고양시_Modal_split!P$3 * 0.01</f>
        <v>83.151919496299669</v>
      </c>
      <c r="AA101" s="213">
        <f>INDEX($A$94:$H$106,MATCH($L101,$B$94:$B$106,0),MATCH($AA$93,$A$94:$H$94,0))*고양시_Modal_split!C$4 * 0.01</f>
        <v>183.1841006189114</v>
      </c>
      <c r="AB101" s="213">
        <f>INDEX($A$94:$H$106,MATCH($L101,$B$94:$B$106,0),MATCH($AA$93,$A$94:$H$94,0))*고양시_Modal_split!D$4 * 0.01</f>
        <v>192.99323609883336</v>
      </c>
      <c r="AC101" s="213">
        <f>INDEX($A$94:$H$106,MATCH($L101,$B$94:$B$106,0),MATCH($AA$93,$A$94:$H$94,0))*고양시_Modal_split!E$4 * 0.01</f>
        <v>46.758885079137372</v>
      </c>
      <c r="AD101" s="213">
        <f>INDEX($A$94:$H$106,MATCH($L101,$B$94:$B$106,0),MATCH($AA$93,$A$94:$H$94,0))*고양시_Modal_split!F$4 * 0.01</f>
        <v>5.7169808011815313</v>
      </c>
      <c r="AE101" s="213">
        <f>INDEX($A$94:$H$106,MATCH($L101,$B$94:$B$106,0),MATCH($AA$93,$A$94:$H$94,0))*고양시_Modal_split!G$4 * 0.01</f>
        <v>70.469310717721825</v>
      </c>
      <c r="AF101" s="213">
        <f>INDEX($A$94:$H$106,MATCH($L101,$B$94:$B$106,0),MATCH($AA$93,$A$94:$H$94,0))*고양시_Modal_split!H$4 * 0.01</f>
        <v>0</v>
      </c>
      <c r="AG101" s="213">
        <f>INDEX($A$94:$H$106,MATCH($L101,$B$94:$B$106,0),MATCH($AA$93,$A$94:$H$94,0))*고양시_Modal_split!I$4 * 0.01</f>
        <v>20.942203355907083</v>
      </c>
      <c r="AH101" s="213">
        <f>INDEX($A$94:$H$106,MATCH($L101,$B$94:$B$106,0),MATCH($AA$93,$A$94:$H$94,0))*고양시_Modal_split!J$4 * 0.01</f>
        <v>28.344189024805278</v>
      </c>
      <c r="AI101" s="213">
        <f>INDEX($A$94:$H$106,MATCH($L101,$B$94:$B$106,0),MATCH($AA$93,$A$94:$H$94,0))*고양시_Modal_split!K$4 * 0.01</f>
        <v>0</v>
      </c>
      <c r="AJ101" s="213">
        <f>INDEX($A$94:$H$106,MATCH($L101,$B$94:$B$106,0),MATCH($AA$93,$A$94:$H$94,0))*고양시_Modal_split!L$4 * 0.01</f>
        <v>27.802580317324921</v>
      </c>
      <c r="AK101" s="213">
        <f>INDEX($A$94:$H$106,MATCH($L101,$B$94:$B$106,0),MATCH($AA$93,$A$94:$H$94,0))*고양시_Modal_split!M$4 * 0.01</f>
        <v>4.031975933464869</v>
      </c>
      <c r="AL101" s="213">
        <f>INDEX($A$94:$H$106,MATCH($L101,$B$94:$B$106,0),MATCH($AA$93,$A$94:$H$94,0))*고양시_Modal_split!N$4 * 0.01</f>
        <v>15.044686318898767</v>
      </c>
      <c r="AM101" s="213">
        <f>INDEX($A$94:$H$106,MATCH($L101,$B$94:$B$106,0),MATCH($AA$93,$A$94:$H$94,0))*고양시_Modal_split!O$4 * 0.01</f>
        <v>6.4993044897642678</v>
      </c>
      <c r="AN101" s="213">
        <f>INDEX($A$94:$H$106,MATCH($L101,$B$94:$B$106,0),MATCH($AA$93,$A$94:$H$94,0))*고양시_Modal_split!P$4 * 0.01</f>
        <v>601.78745275595065</v>
      </c>
      <c r="AO101" s="213">
        <f>INDEX($A$94:$H$106,MATCH($L101,$B$94:$B$106,0),MATCH($AO$93,$A$94:$H$94,0))*고양시_Modal_split!C$5 * 0.01</f>
        <v>2.0713833969347874E-2</v>
      </c>
      <c r="AP101" s="213">
        <f>INDEX($A$94:$H$106,MATCH($L101,$B$94:$B$106,0),MATCH($AO$93,$A$94:$H$94,0))*고양시_Modal_split!D$5 * 0.01</f>
        <v>25.29849588789687</v>
      </c>
      <c r="AQ101" s="213">
        <f>INDEX($A$94:$H$106,MATCH($L101,$B$94:$B$106,0),MATCH($AO$93,$A$94:$H$94,0))*고양시_Modal_split!E$5 * 0.01</f>
        <v>3.4005210766346092</v>
      </c>
      <c r="AR101" s="213">
        <f>INDEX($A$94:$H$106,MATCH($L101,$B$94:$B$106,0),MATCH($AO$93,$A$94:$H$94,0))*고양시_Modal_split!F$5 * 0.01</f>
        <v>0.72498418892717564</v>
      </c>
      <c r="AS101" s="213">
        <f>INDEX($A$94:$H$106,MATCH($L101,$B$94:$B$106,0),MATCH($AO$93,$A$94:$H$94,0))*고양시_Modal_split!G$5 * 0.01</f>
        <v>0.22439986800126865</v>
      </c>
      <c r="AT101" s="213">
        <f>INDEX($A$94:$H$106,MATCH($L101,$B$94:$B$106,0),MATCH($AO$93,$A$94:$H$94,0))*고양시_Modal_split!H$5 * 0.01</f>
        <v>2.4166139630905852E-2</v>
      </c>
      <c r="AU101" s="213">
        <f>INDEX($A$94:$H$106,MATCH($L101,$B$94:$B$106,0),MATCH($AO$93,$A$94:$H$94,0))*고양시_Modal_split!I$5 * 0.01</f>
        <v>0.95628866825156023</v>
      </c>
      <c r="AV101" s="213">
        <f>INDEX($A$94:$H$106,MATCH($L101,$B$94:$B$106,0),MATCH($AO$93,$A$94:$H$94,0))*고양시_Modal_split!J$5 * 0.01</f>
        <v>2.164595649796853</v>
      </c>
      <c r="AW101" s="213">
        <f>INDEX($A$94:$H$106,MATCH($L101,$B$94:$B$106,0),MATCH($AO$93,$A$94:$H$94,0))*고양시_Modal_split!K$5 * 0.01</f>
        <v>6.9046113231159582E-3</v>
      </c>
      <c r="AX101" s="213">
        <f>INDEX($A$94:$H$106,MATCH($L101,$B$94:$B$106,0),MATCH($AO$93,$A$94:$H$94,0))*고양시_Modal_split!L$5 * 0.01</f>
        <v>0.88033794369728458</v>
      </c>
      <c r="AY101" s="213">
        <f>INDEX($A$94:$H$106,MATCH($L101,$B$94:$B$106,0),MATCH($AO$93,$A$94:$H$94,0))*고양시_Modal_split!M$5 * 0.01</f>
        <v>0.23130447932438461</v>
      </c>
      <c r="AZ101" s="213">
        <f>INDEX($A$94:$H$106,MATCH($L101,$B$94:$B$106,0),MATCH($AO$93,$A$94:$H$94,0))*고양시_Modal_split!N$5 * 0.01</f>
        <v>5.8689196246485643E-2</v>
      </c>
      <c r="BA101" s="213">
        <f>INDEX($A$94:$H$106,MATCH($L101,$B$94:$B$106,0),MATCH($AO$93,$A$94:$H$94,0))*고양시_Modal_split!O$5 * 0.01</f>
        <v>0.53165507187992878</v>
      </c>
      <c r="BB101" s="213">
        <f>INDEX($A$94:$H$106,MATCH($L101,$B$94:$B$106,0),MATCH($AO$93,$A$94:$H$94,0))*고양시_Modal_split!P$5 * 0.01</f>
        <v>34.523056615579783</v>
      </c>
      <c r="BC101" s="213">
        <f>INDEX($A$94:$H$106,MATCH($L101,$B$94:$B$106,0),MATCH($BC$93,$A$94:$H$94,0))*고양시_Modal_split!C$6 * 0.01</f>
        <v>0</v>
      </c>
      <c r="BD101" s="207">
        <f>INDEX($A$94:$H$106,MATCH($L101,$B$94:$B$106,0),MATCH($BC$93,$A$94:$H$94,0))*고양시_Modal_split!D$6 * 0.01</f>
        <v>4.4926992954470939E-2</v>
      </c>
      <c r="BE101" s="207">
        <f>INDEX($A$94:$H$106,MATCH($L101,$B$94:$B$106,0),MATCH($BC$93,$A$94:$H$94,0))*고양시_Modal_split!E$6 * 0.01</f>
        <v>2.3328833438500792E-4</v>
      </c>
      <c r="BF101" s="207">
        <f>INDEX($A$94:$H$106,MATCH($L101,$B$94:$B$106,0),MATCH($BC$93,$A$94:$H$94,0))*고양시_Modal_split!F$6 * 0.01</f>
        <v>6.6188783244118521E-4</v>
      </c>
      <c r="BG101" s="207">
        <f>INDEX($A$94:$H$106,MATCH($L101,$B$94:$B$106,0),MATCH($BC$93,$A$94:$H$94,0))*고양시_Modal_split!G$6 * 0.01</f>
        <v>0</v>
      </c>
      <c r="BH101" s="207">
        <f>INDEX($A$94:$H$106,MATCH($L101,$B$94:$B$106,0),MATCH($BC$93,$A$94:$H$94,0))*고양시_Modal_split!H$6 * 0.01</f>
        <v>2.8808396641497491E-3</v>
      </c>
      <c r="BI101" s="207">
        <f>INDEX($A$94:$H$106,MATCH($L101,$B$94:$B$106,0),MATCH($BC$93,$A$94:$H$94,0))*고양시_Modal_split!I$6 * 0.01</f>
        <v>1.9205597760998325E-3</v>
      </c>
      <c r="BJ101" s="207">
        <f>INDEX($A$94:$H$106,MATCH($L101,$B$94:$B$106,0),MATCH($BC$93,$A$94:$H$94,0))*고양시_Modal_split!J$6 * 0.01</f>
        <v>2.6801031903766022E-3</v>
      </c>
      <c r="BK101" s="207">
        <f>INDEX($A$94:$H$106,MATCH($L101,$B$94:$B$106,0),MATCH($BC$93,$A$94:$H$94,0))*고양시_Modal_split!K$6 * 0.01</f>
        <v>0</v>
      </c>
      <c r="BL101" s="207">
        <f>INDEX($A$94:$H$106,MATCH($L101,$B$94:$B$106,0),MATCH($BC$93,$A$94:$H$94,0))*고양시_Modal_split!L$6 * 0.01</f>
        <v>4.1232356775024653E-4</v>
      </c>
      <c r="BM101" s="207">
        <f>INDEX($A$94:$H$106,MATCH($L101,$B$94:$B$106,0),MATCH($BC$93,$A$94:$H$94,0))*고양시_Modal_split!M$6 * 0.01</f>
        <v>4.9370321927990051E-4</v>
      </c>
      <c r="BN101" s="207">
        <f>INDEX($A$94:$H$106,MATCH($L101,$B$94:$B$106,0),MATCH($BC$93,$A$94:$H$94,0))*고양시_Modal_split!N$6 * 0.01</f>
        <v>0</v>
      </c>
      <c r="BO101" s="207">
        <f>INDEX($A$94:$H$106,MATCH($L101,$B$94:$B$106,0),MATCH($BC$93,$A$94:$H$94,0))*고양시_Modal_split!O$6 * 0.01</f>
        <v>4.3402480815815428E-5</v>
      </c>
      <c r="BP101" s="214">
        <f>INDEX($A$94:$H$106,MATCH($L101,$B$94:$B$106,0),MATCH($BC$93,$A$94:$H$94,0))*고양시_Modal_split!P$6 * 0.01</f>
        <v>5.4253101019769281E-2</v>
      </c>
      <c r="BQ101" s="213">
        <f>INDEX($A$94:$H$106,MATCH($L101,$B$94:$B$106,0),MATCH($BQ$93,$A$94:$H$94,0))*고양시_Modal_split!C$7 * 0.01</f>
        <v>0</v>
      </c>
      <c r="BR101" s="213">
        <f>INDEX($A$94:$H$106,MATCH($L101,$B$94:$B$106,0),MATCH($BQ$93,$A$94:$H$94,0))*고양시_Modal_split!D$7 * 0.01</f>
        <v>0.12559713448523291</v>
      </c>
      <c r="BS101" s="213">
        <f>INDEX($A$94:$H$106,MATCH($L101,$B$94:$B$106,0),MATCH($BQ$93,$A$94:$H$94,0))*고양시_Modal_split!E$7 * 0.01</f>
        <v>6.128189166299711E-3</v>
      </c>
      <c r="BT101" s="213">
        <f>INDEX($A$94:$H$106,MATCH($L101,$B$94:$B$106,0),MATCH($BQ$93,$A$94:$H$94,0))*고양시_Modal_split!F$7 * 0.01</f>
        <v>2.0495615940801714E-3</v>
      </c>
      <c r="BU101" s="213">
        <f>INDEX($A$94:$H$106,MATCH($L101,$B$94:$B$106,0),MATCH($BQ$93,$A$94:$H$94,0))*고양시_Modal_split!G$7 * 0.01</f>
        <v>8.608158695136718E-4</v>
      </c>
      <c r="BV101" s="213">
        <f>INDEX($A$94:$H$106,MATCH($L101,$B$94:$B$106,0),MATCH($BQ$93,$A$94:$H$94,0))*고양시_Modal_split!H$7 * 0.01</f>
        <v>1.1457049310908156E-2</v>
      </c>
      <c r="BW101" s="213">
        <f>INDEX($A$94:$H$106,MATCH($L101,$B$94:$B$106,0),MATCH($BQ$93,$A$94:$H$94,0))*고양시_Modal_split!I$7 * 0.01</f>
        <v>3.8265314961476803E-2</v>
      </c>
      <c r="BX101" s="213">
        <f>INDEX($A$94:$H$106,MATCH($L101,$B$94:$B$106,0),MATCH($BQ$93,$A$94:$H$94,0))*고양시_Modal_split!J$7 * 0.01</f>
        <v>4.0991231881603431E-5</v>
      </c>
      <c r="BY101" s="213">
        <f>INDEX($A$94:$H$106,MATCH($L101,$B$94:$B$106,0),MATCH($BQ$93,$A$94:$H$94,0))*고양시_Modal_split!K$7 * 0.01</f>
        <v>1.578162427441732E-2</v>
      </c>
      <c r="BZ101" s="213">
        <f>INDEX($A$94:$H$106,MATCH($L101,$B$94:$B$106,0),MATCH($BQ$93,$A$94:$H$94,0))*고양시_Modal_split!L$7 * 0.01</f>
        <v>1.4346931158561199E-4</v>
      </c>
      <c r="CA101" s="213">
        <f>INDEX($A$94:$H$106,MATCH($L101,$B$94:$B$106,0),MATCH($BQ$93,$A$94:$H$94,0))*고양시_Modal_split!M$7 * 0.01</f>
        <v>3.8326801809299206E-3</v>
      </c>
      <c r="CB101" s="213">
        <f>INDEX($A$94:$H$106,MATCH($L101,$B$94:$B$106,0),MATCH($BQ$93,$A$94:$H$94,0))*고양시_Modal_split!N$7 * 0.01</f>
        <v>7.9932902169126672E-4</v>
      </c>
      <c r="CC101" s="213">
        <f>INDEX($A$94:$H$106,MATCH($L101,$B$94:$B$106,0),MATCH($BQ$93,$A$94:$H$94,0))*고양시_Modal_split!O$7 * 0.01</f>
        <v>0</v>
      </c>
      <c r="CD101" s="213">
        <f>INDEX($A$94:$H$106,MATCH($L101,$B$94:$B$106,0),MATCH($BQ$93,$A$94:$H$94,0))*고양시_Modal_split!P$7 * 0.01</f>
        <v>0.20495615940801715</v>
      </c>
      <c r="CE101" s="218">
        <f t="shared" si="58"/>
        <v>183.43763982747041</v>
      </c>
      <c r="CF101" s="208">
        <f t="shared" si="39"/>
        <v>257.56860385327968</v>
      </c>
      <c r="CG101" s="208">
        <f t="shared" si="40"/>
        <v>54.897111852612113</v>
      </c>
      <c r="CH101" s="208">
        <f t="shared" si="41"/>
        <v>14.069707457345908</v>
      </c>
      <c r="CI101" s="208">
        <f t="shared" si="42"/>
        <v>71.459569060958572</v>
      </c>
      <c r="CJ101" s="208">
        <f t="shared" si="43"/>
        <v>4.6819220555593725E-2</v>
      </c>
      <c r="CK101" s="208">
        <f t="shared" si="44"/>
        <v>24.250301260893352</v>
      </c>
      <c r="CL101" s="208">
        <f t="shared" si="45"/>
        <v>55.822950063698009</v>
      </c>
      <c r="CM101" s="208">
        <f t="shared" si="46"/>
        <v>0.14741411484198277</v>
      </c>
      <c r="CN101" s="208">
        <f t="shared" si="47"/>
        <v>31.194662022689791</v>
      </c>
      <c r="CO101" s="208">
        <f t="shared" si="48"/>
        <v>4.4588562110309526</v>
      </c>
      <c r="CP101" s="208">
        <f t="shared" si="49"/>
        <v>15.187326763663243</v>
      </c>
      <c r="CQ101" s="208">
        <f t="shared" si="50"/>
        <v>7.1806764192183516</v>
      </c>
      <c r="CR101" s="219">
        <f t="shared" si="51"/>
        <v>719.72163812825784</v>
      </c>
      <c r="CS101" s="225">
        <f t="shared" si="59"/>
        <v>0</v>
      </c>
      <c r="CV101" s="265" t="s">
        <v>433</v>
      </c>
      <c r="CW101" s="271" t="s">
        <v>484</v>
      </c>
      <c r="CX101" s="267">
        <f>INDEX($M$93:$Z$106,MATCH($CW101,$L$93:$L$106,0),MATCH(CX$94,$M$94:$Z$94,0))/INDEX(고양시_재차인원!$D$4:$H$35,MATCH("고양시",고양시_재차인원!$B$4:$B$35,0),MATCH('A.일산테크노밸리(859991)_수정'!$CX$93,고양시_재차인원!$D$4:$H$4,0))</f>
        <v>34.916381909919401</v>
      </c>
      <c r="CY101" s="267">
        <f>INDEX($M$93:$Z$106,MATCH($CW101,$L$93:$L$106,0),MATCH(CY$94,$M$94:$Z$94,0))/INDEX(고양시_재차인원!$K$4:$O$20,MATCH("경기도",고양시_재차인원!$K$4:$K$20,0),MATCH('A.일산테크노밸리(859991)_수정'!CY$94,고양시_재차인원!$K$4:$O$4,0))</f>
        <v>2.8882222819138478E-4</v>
      </c>
      <c r="CZ101" s="267">
        <f>INDEX($M$93:$Z$106,MATCH($CW101,$L$93:$L$106,0),MATCH(CZ$94,$M$94:$Z$94,0))/INDEX(고양시_재차인원!$K$4:$O$20,MATCH("경기도",고양시_재차인원!$K$4:$K$20,0),MATCH('A.일산테크노밸리(859991)_수정'!CZ$94,고양시_재차인원!$K$4:$O$4,0))</f>
        <v>8.0292579437204956E-2</v>
      </c>
      <c r="DA101" s="267">
        <f>INDEX($M$93:$Z$106,MATCH($CW101,$L$93:$L$106,0),MATCH(DA$94,$M$94:$Z$94,0))/INDEX(고양시_재차인원!$K$4:$O$20,MATCH("경기도",고양시_재차인원!$K$4:$K$20,0),MATCH('A.일산테크노밸리(859991)_수정'!DA$94,고양시_재차인원!$K$4:$O$4,0))</f>
        <v>1.6741253125255</v>
      </c>
      <c r="DB101" s="268">
        <f>INDEX($AA$93:$AN$106,MATCH($CW101,$L$93:$L$106,0),MATCH(DB$94,$AA$94:$AN$94,0))/INDEX(고양시_재차인원!$D$4:$H$35,MATCH("고양시",고양시_재차인원!$B$4:$B$35,0),MATCH('A.일산테크노밸리(859991)_수정'!$DB$93,고양시_재차인원!$D$4:$H$4,0))</f>
        <v>136.87463553108751</v>
      </c>
      <c r="DC101" s="267">
        <f>INDEX($AA$93:$AN$106,MATCH($CW101,$L$93:$L$106,0),MATCH(DC$94,$AA$94:$AN$94,0))/INDEX(고양시_재차인원!$K$4:$O$20,MATCH("경기도",고양시_재차인원!$K$4:$K$20,0),MATCH('A.일산테크노밸리(859991)_수정'!DC$94,고양시_재차인원!$K$4:$O$4,0))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1" s="267">
        <f>INDEX($AA$93:$AN$106,MATCH($CW101,$L$93:$L$106,0),MATCH(DD$94,$AA$94:$AN$94,0))/INDEX(고양시_재차인원!$K$4:$O$20,MATCH("경기도",고양시_재차인원!$K$4:$K$20,0),MATCH('A.일산테크노밸리(859991)_수정'!DD$94,고양시_재차인원!$K$4:$O$4,0))</f>
        <v>0.72741241250111444</v>
      </c>
      <c r="DE101" s="267">
        <f>INDEX($AA$93:$AN$106,MATCH($CW101,$L$93:$L$106,0),MATCH(DE$94,$AA$94:$AN$94,0))/INDEX(고양시_재차인원!$K$4:$O$20,MATCH("경기도",고양시_재차인원!$K$4:$K$20,0),MATCH('A.일산테크노밸리(859991)_수정'!DE$94,고양시_재차인원!$K$4:$O$4,0))</f>
        <v>18.535053544883279</v>
      </c>
      <c r="DF101" s="268">
        <f>INDEX($AO$93:$BB$106,MATCH($CW101,$L$93:$L$106,0),MATCH(DF$94,$AO$94:$BB$94,0))/INDEX(고양시_재차인원!$D$4:$H$35,MATCH("고양시",고양시_재차인원!$B$4:$B$35,0),MATCH('A.일산테크노밸리(859991)_수정'!$DF$93,고양시_재차인원!$D$4:$H$4,0))</f>
        <v>19.460381452228361</v>
      </c>
      <c r="DG101" s="267">
        <f>INDEX($AO$93:$BB$106,MATCH($CW101,$L$93:$L$106,0),MATCH(DG$94,$AO$94:$BB$94,0))/INDEX(고양시_재차인원!$K$4:$O$20,MATCH("경기도",고양시_재차인원!$K$4:$K$20,0),MATCH('A.일산테크노밸리(859991)_수정'!DG$94,고양시_재차인원!$K$4:$O$4,0))</f>
        <v>8.3939352660319043E-4</v>
      </c>
      <c r="DH101" s="267">
        <f>INDEX($AO$93:$BB$106,MATCH($CW101,$L$93:$L$106,0),MATCH(DH$94,$AO$94:$BB$94,0))/INDEX(고양시_재차인원!$K$4:$O$20,MATCH("경기도",고양시_재차인원!$K$4:$K$20,0),MATCH('A.일산테크노밸리(859991)_수정'!DH$94,고양시_재차인원!$K$4:$O$4,0))</f>
        <v>3.3216000981297684E-2</v>
      </c>
      <c r="DI101" s="267">
        <f>INDEX($AO$93:$BB$106,MATCH($CW101,$L$93:$L$106,0),MATCH(DI$94,$AO$94:$BB$94,0))/INDEX(고양시_재차인원!$K$4:$O$20,MATCH("경기도",고양시_재차인원!$K$4:$K$20,0),MATCH('A.일산테크노밸리(859991)_수정'!DI$94,고양시_재차인원!$K$4:$O$4,0))</f>
        <v>0.58689196246485642</v>
      </c>
      <c r="DJ101" s="268">
        <f>INDEX($BC$93:$BP$106,MATCH($CW101,$L$93:$L$106,0),MATCH(DJ$94,$BC$94:$BP$94,0))/INDEX(고양시_재차인원!$D$4:$H$35,MATCH("고양시",고양시_재차인원!$B$4:$B$35,0),MATCH('A.일산테크노밸리(859991)_수정'!$DJ$93,고양시_재차인원!$D$4:$H$4,0))</f>
        <v>3.3034553642993333E-2</v>
      </c>
      <c r="DK101" s="267">
        <f>INDEX($BC$93:$BP$106,MATCH($CW101,$L$93:$L$106,0),MATCH(DK$94,$BC$94:$BP$94,0))/INDEX(고양시_재차인원!$K$4:$O$20,MATCH("경기도",고양시_재차인원!$K$4:$K$20,0),MATCH('A.일산테크노밸리(859991)_수정'!DK$94,고양시_재차인원!$K$4:$O$4,0))</f>
        <v>1.0006389941471863E-4</v>
      </c>
      <c r="DL101" s="267">
        <f>INDEX($BC$93:$BP$106,MATCH($CW101,$L$93:$L$106,0),MATCH(DL$94,$BC$94:$BP$94,0))/INDEX(고양시_재차인원!$K$4:$O$20,MATCH("경기도",고양시_재차인원!$K$4:$K$20,0),MATCH('A.일산테크노밸리(859991)_수정'!DL$94,고양시_재차인원!$K$4:$O$4,0))</f>
        <v>6.6709266276479071E-5</v>
      </c>
      <c r="DM101" s="267">
        <f>INDEX($BC$93:$BP$106,MATCH($CW101,$L$93:$L$106,0),MATCH(DM$94,$BC$94:$BP$94,0))/INDEX(고양시_재차인원!$K$4:$O$20,MATCH("경기도",고양시_재차인원!$K$4:$K$20,0),MATCH('A.일산테크노밸리(859991)_수정'!DM$94,고양시_재차인원!$K$4:$O$4,0))</f>
        <v>2.7488237850016437E-4</v>
      </c>
      <c r="DN101" s="268">
        <f>INDEX($BQ$93:$CD$106,MATCH($CW101,$L$93:$L$106,0),MATCH(DN$94,$BQ$94:$CD$94,0))/INDEX(고양시_재차인원!$D$4:$H$35,MATCH("고양시",고양시_재차인원!$B$4:$B$35,0),MATCH('A.일산테크노밸리(859991)_수정'!$DN$93,고양시_재차인원!$D$4:$H$4,0))</f>
        <v>9.9680265464470563E-2</v>
      </c>
      <c r="DO101" s="267">
        <f>INDEX($BQ$93:$CD$106,MATCH($CW101,$L$93:$L$106,0),MATCH(DO$94,$BQ$94:$CD$94,0))/INDEX(고양시_재차인원!$K$4:$O$20,MATCH("경기도",고양시_재차인원!$K$4:$K$20,0),MATCH('A.일산테크노밸리(859991)_수정'!DO$94,고양시_재차인원!$K$4:$O$4,0))</f>
        <v>3.9795239009753926E-4</v>
      </c>
      <c r="DP101" s="267">
        <f>INDEX($BQ$93:$CD$106,MATCH($CW101,$L$93:$L$106,0),MATCH(DP$94,$BQ$94:$CD$94,0))/INDEX(고양시_재차인원!$K$4:$O$20,MATCH("경기도",고양시_재차인원!$K$4:$K$20,0),MATCH('A.일산테크노밸리(859991)_수정'!DP$94,고양시_재차인원!$K$4:$O$4,0))</f>
        <v>1.3291182688946442E-3</v>
      </c>
      <c r="DQ101" s="267">
        <f>INDEX($BQ$93:$CD$106,MATCH($CW101,$L$93:$L$106,0),MATCH(DQ$94,$BQ$94:$CD$94,0))/INDEX(고양시_재차인원!$K$4:$O$20,MATCH("경기도",고양시_재차인원!$K$4:$K$20,0),MATCH('A.일산테크노밸리(859991)_수정'!DQ$94,고양시_재차인원!$K$4:$O$4,0))</f>
        <v>9.5646207723741323E-5</v>
      </c>
      <c r="DR101" s="269">
        <f t="shared" si="60"/>
        <v>191.38411371234272</v>
      </c>
      <c r="DS101" s="270">
        <f t="shared" si="52"/>
        <v>1.626232044306833E-3</v>
      </c>
      <c r="DT101" s="270">
        <f t="shared" si="53"/>
        <v>0.84231682045478817</v>
      </c>
      <c r="DU101" s="270">
        <f t="shared" si="54"/>
        <v>20.796441348459865</v>
      </c>
      <c r="DW101" s="278"/>
      <c r="DX101" s="278" t="s">
        <v>596</v>
      </c>
      <c r="DY101" s="281">
        <f>SUM(DR101:DR103)+SUM(DU101:DU103)</f>
        <v>918.56054364262047</v>
      </c>
      <c r="DZ101" s="281">
        <f>SUM(DS101:DS103)+SUM(DT101:DT103)</f>
        <v>3.6535524609445744</v>
      </c>
      <c r="EC101" s="412" t="s">
        <v>15</v>
      </c>
      <c r="ED101" s="412" t="s">
        <v>572</v>
      </c>
      <c r="EE101" s="412">
        <v>10028.5581</v>
      </c>
      <c r="EF101" s="412">
        <v>4.6576536899844041E-2</v>
      </c>
      <c r="EG101" s="413">
        <v>859008</v>
      </c>
      <c r="EH101" s="414">
        <f t="shared" si="55"/>
        <v>349.8688904214585</v>
      </c>
      <c r="EI101" s="415">
        <f t="shared" si="56"/>
        <v>1.3915950934907513</v>
      </c>
      <c r="EJ101" s="402">
        <v>0</v>
      </c>
      <c r="EM101" s="278" t="s">
        <v>15</v>
      </c>
      <c r="EN101" s="278" t="s">
        <v>572</v>
      </c>
      <c r="EO101" s="278">
        <v>10028.5581</v>
      </c>
      <c r="EP101" s="278">
        <v>4.6576536899844041E-2</v>
      </c>
      <c r="EQ101" s="289">
        <v>859008</v>
      </c>
      <c r="ER101" s="290">
        <f t="shared" si="37"/>
        <v>349.8688904214585</v>
      </c>
      <c r="ES101" s="291">
        <f t="shared" si="38"/>
        <v>1.3915950934907513</v>
      </c>
      <c r="ET101" s="402">
        <v>0</v>
      </c>
      <c r="EV101" s="34"/>
      <c r="EW101" s="34"/>
      <c r="EX101" s="34"/>
      <c r="EY101" s="34"/>
      <c r="EZ101" s="378"/>
      <c r="FA101" s="401"/>
      <c r="FB101" s="402"/>
      <c r="FC101" s="402"/>
    </row>
    <row r="102" spans="1:159" ht="25">
      <c r="A102" s="205" t="s">
        <v>491</v>
      </c>
      <c r="B102" s="203" t="s">
        <v>490</v>
      </c>
      <c r="C102" s="400">
        <f>'A.일산테크노밸리(859991)_수정'!$P35*KTDB_TripDistribution_2045!T$12 * (1+KTDB_발생량도착량_증가율!$D$8 *5) * (1+KTDB_발생량도착량_증가율!$E$8 *5) * (1+KTDB_발생량도착량_증가율!$F$8 *5) * (1+KTDB_발생량도착량_증가율!$G$8 *5)</f>
        <v>63.930872778562069</v>
      </c>
      <c r="D102" s="400">
        <f>'A.일산테크노밸리(859991)_수정'!$P35*KTDB_TripDistribution_2045!U$12 * (1+KTDB_발생량도착량_증가율!$D$8 *5) * (1+KTDB_발생량도착량_증가율!$E$8 *5) * (1+KTDB_발생량도착량_증가율!$F$8 *5) * (1+KTDB_발생량도착량_증가율!$G$8 *5)</f>
        <v>462.68080538522838</v>
      </c>
      <c r="E102" s="400">
        <f>'A.일산테크노밸리(859991)_수정'!$P35*KTDB_TripDistribution_2045!V$12 * (1+KTDB_발생량도착량_증가율!$D$8 *5) * (1+KTDB_발생량도착량_증가율!$E$8 *5) * (1+KTDB_발생량도착량_증가율!$F$8 *5) * (1+KTDB_발생량도착량_증가율!$G$8 *5)</f>
        <v>26.542852573787474</v>
      </c>
      <c r="F102" s="400">
        <f>'A.일산테크노밸리(859991)_수정'!$P35*KTDB_TripDistribution_2045!W$12 * (1+KTDB_발생량도착량_증가율!$D$8 *5) * (1+KTDB_발생량도착량_증가율!$E$8 *5) * (1+KTDB_발생량도착량_증가율!$F$8 *5) * (1+KTDB_발생량도착량_증가율!$G$8 *5)</f>
        <v>4.1712183196104022E-2</v>
      </c>
      <c r="G102" s="400">
        <f>'A.일산테크노밸리(859991)_수정'!$P35*KTDB_TripDistribution_2045!X$12 * (1+KTDB_발생량도착량_증가율!$D$8 *5) * (1+KTDB_발생량도착량_증가율!$E$8 *5) * (1+KTDB_발생량도착량_증가율!$F$8 *5) * (1+KTDB_발생량도착량_증가율!$G$8 *5)</f>
        <v>0.15757935874083728</v>
      </c>
      <c r="H102" s="400">
        <f>'A.일산테크노밸리(859991)_수정'!$P35*KTDB_TripDistribution_2045!Y$12 * (1+KTDB_발생량도착량_증가율!$D$8 *5) * (1+KTDB_발생량도착량_증가율!$E$8 *5) * (1+KTDB_발생량도착량_증가율!$F$8 *5) * (1+KTDB_발생량도착량_증가율!$G$8 *5)</f>
        <v>553.35382227951493</v>
      </c>
      <c r="J102" s="230">
        <f t="shared" si="57"/>
        <v>553.35382227951482</v>
      </c>
      <c r="K102" s="206"/>
      <c r="L102" s="210" t="s">
        <v>486</v>
      </c>
      <c r="M102" s="213">
        <f>INDEX($A$94:$H$106,MATCH($L102,$B$94:$B$106,0),MATCH($M$93,$A$94:$H$94,0))*고양시_Modal_split!C$3 * 0.01</f>
        <v>0.17900644377997377</v>
      </c>
      <c r="N102" s="213">
        <f>INDEX($A$94:$H$106,MATCH($L102,$B$94:$B$106,0),MATCH($M$93,$A$94:$H$94,0))*고양시_Modal_split!D$3 * 0.01</f>
        <v>30.066689467757744</v>
      </c>
      <c r="O102" s="213">
        <f>INDEX($A$94:$H$106,MATCH($L102,$B$94:$B$106,0),MATCH($M$93,$A$94:$H$94,0))*고양시_Modal_split!E$3 * 0.01</f>
        <v>3.6376666611001816</v>
      </c>
      <c r="P102" s="213">
        <f>INDEX($A$94:$H$106,MATCH($L102,$B$94:$B$106,0),MATCH($M$93,$A$94:$H$94,0))*고양시_Modal_split!F$3 * 0.01</f>
        <v>5.8624610337941423</v>
      </c>
      <c r="Q102" s="213">
        <f>INDEX($A$94:$H$106,MATCH($L102,$B$94:$B$106,0),MATCH($M$93,$A$94:$H$94,0))*고양시_Modal_split!G$3 * 0.01</f>
        <v>0.58816402956277103</v>
      </c>
      <c r="R102" s="213">
        <f>INDEX($A$94:$H$106,MATCH($L102,$B$94:$B$106,0),MATCH($M$93,$A$94:$H$94,0))*고양시_Modal_split!H$3 * 0.01</f>
        <v>6.3930872778562081E-3</v>
      </c>
      <c r="S102" s="213">
        <f>INDEX($A$94:$H$106,MATCH($L102,$B$94:$B$106,0),MATCH($M$93,$A$94:$H$94,0))*고양시_Modal_split!I$3 * 0.01</f>
        <v>1.7772782632440254</v>
      </c>
      <c r="T102" s="213">
        <f>INDEX($A$94:$H$106,MATCH($L102,$B$94:$B$106,0),MATCH($M$93,$A$94:$H$94,0))*고양시_Modal_split!J$3 * 0.01</f>
        <v>19.460557673794295</v>
      </c>
      <c r="U102" s="213">
        <f>INDEX($A$94:$H$106,MATCH($L102,$B$94:$B$106,0),MATCH($M$93,$A$94:$H$94,0))*고양시_Modal_split!K$3 * 0.01</f>
        <v>9.58963091678431E-2</v>
      </c>
      <c r="V102" s="213">
        <f>INDEX($A$94:$H$106,MATCH($L102,$B$94:$B$106,0),MATCH($M$93,$A$94:$H$94,0))*고양시_Modal_split!L$3 * 0.01</f>
        <v>1.9307123579125745</v>
      </c>
      <c r="W102" s="213">
        <f>INDEX($A$94:$H$106,MATCH($L102,$B$94:$B$106,0),MATCH($M$93,$A$94:$H$94,0))*고양시_Modal_split!M$3 * 0.01</f>
        <v>0.14704100739069276</v>
      </c>
      <c r="X102" s="213">
        <f>INDEX($A$94:$H$106,MATCH($L102,$B$94:$B$106,0),MATCH($M$93,$A$94:$H$94,0))*고양시_Modal_split!N$3 * 0.01</f>
        <v>6.3930872778562076E-2</v>
      </c>
      <c r="Y102" s="213">
        <f>INDEX($A$94:$H$106,MATCH($L102,$B$94:$B$106,0),MATCH($M$93,$A$94:$H$94,0))*고양시_Modal_split!O$3 * 0.01</f>
        <v>0.11507557100141172</v>
      </c>
      <c r="Z102" s="213">
        <f>INDEX($A$94:$H$106,MATCH($L102,$B$94:$B$106,0),MATCH($M$93,$A$94:$H$94,0))*고양시_Modal_split!P$3 * 0.01</f>
        <v>63.930872778562069</v>
      </c>
      <c r="AA102" s="213">
        <f>INDEX($A$94:$H$106,MATCH($L102,$B$94:$B$106,0),MATCH($AA$93,$A$94:$H$94,0))*고양시_Modal_split!C$4 * 0.01</f>
        <v>140.84003715926352</v>
      </c>
      <c r="AB102" s="213">
        <f>INDEX($A$94:$H$106,MATCH($L102,$B$94:$B$106,0),MATCH($AA$93,$A$94:$H$94,0))*고양시_Modal_split!D$4 * 0.01</f>
        <v>148.38173428704275</v>
      </c>
      <c r="AC102" s="213">
        <f>INDEX($A$94:$H$106,MATCH($L102,$B$94:$B$106,0),MATCH($AA$93,$A$94:$H$94,0))*고양시_Modal_split!E$4 * 0.01</f>
        <v>35.950298578432246</v>
      </c>
      <c r="AD102" s="213">
        <f>INDEX($A$94:$H$106,MATCH($L102,$B$94:$B$106,0),MATCH($AA$93,$A$94:$H$94,0))*고양시_Modal_split!F$4 * 0.01</f>
        <v>4.3954676511596693</v>
      </c>
      <c r="AE102" s="213">
        <f>INDEX($A$94:$H$106,MATCH($L102,$B$94:$B$106,0),MATCH($AA$93,$A$94:$H$94,0))*고양시_Modal_split!G$4 * 0.01</f>
        <v>54.179922310610237</v>
      </c>
      <c r="AF102" s="213">
        <f>INDEX($A$94:$H$106,MATCH($L102,$B$94:$B$106,0),MATCH($AA$93,$A$94:$H$94,0))*고양시_Modal_split!H$4 * 0.01</f>
        <v>0</v>
      </c>
      <c r="AG102" s="213">
        <f>INDEX($A$94:$H$106,MATCH($L102,$B$94:$B$106,0),MATCH($AA$93,$A$94:$H$94,0))*고양시_Modal_split!I$4 * 0.01</f>
        <v>16.101292027405947</v>
      </c>
      <c r="AH102" s="213">
        <f>INDEX($A$94:$H$106,MATCH($L102,$B$94:$B$106,0),MATCH($AA$93,$A$94:$H$94,0))*고양시_Modal_split!J$4 * 0.01</f>
        <v>21.792265933644259</v>
      </c>
      <c r="AI102" s="213">
        <f>INDEX($A$94:$H$106,MATCH($L102,$B$94:$B$106,0),MATCH($AA$93,$A$94:$H$94,0))*고양시_Modal_split!K$4 * 0.01</f>
        <v>0</v>
      </c>
      <c r="AJ102" s="213">
        <f>INDEX($A$94:$H$106,MATCH($L102,$B$94:$B$106,0),MATCH($AA$93,$A$94:$H$94,0))*고양시_Modal_split!L$4 * 0.01</f>
        <v>21.375853208797555</v>
      </c>
      <c r="AK102" s="213">
        <f>INDEX($A$94:$H$106,MATCH($L102,$B$94:$B$106,0),MATCH($AA$93,$A$94:$H$94,0))*고양시_Modal_split!M$4 * 0.01</f>
        <v>3.0999613960810302</v>
      </c>
      <c r="AL102" s="213">
        <f>INDEX($A$94:$H$106,MATCH($L102,$B$94:$B$106,0),MATCH($AA$93,$A$94:$H$94,0))*고양시_Modal_split!N$4 * 0.01</f>
        <v>11.56702013463071</v>
      </c>
      <c r="AM102" s="213">
        <f>INDEX($A$94:$H$106,MATCH($L102,$B$94:$B$106,0),MATCH($AA$93,$A$94:$H$94,0))*고양시_Modal_split!O$4 * 0.01</f>
        <v>4.9969526981604666</v>
      </c>
      <c r="AN102" s="213">
        <f>INDEX($A$94:$H$106,MATCH($L102,$B$94:$B$106,0),MATCH($AA$93,$A$94:$H$94,0))*고양시_Modal_split!P$4 * 0.01</f>
        <v>462.68080538522838</v>
      </c>
      <c r="AO102" s="213">
        <f>INDEX($A$94:$H$106,MATCH($L102,$B$94:$B$106,0),MATCH($AO$93,$A$94:$H$94,0))*고양시_Modal_split!C$5 * 0.01</f>
        <v>1.5925711544272487E-2</v>
      </c>
      <c r="AP102" s="213">
        <f>INDEX($A$94:$H$106,MATCH($L102,$B$94:$B$106,0),MATCH($AO$93,$A$94:$H$94,0))*고양시_Modal_split!D$5 * 0.01</f>
        <v>19.450602366071461</v>
      </c>
      <c r="AQ102" s="213">
        <f>INDEX($A$94:$H$106,MATCH($L102,$B$94:$B$106,0),MATCH($AO$93,$A$94:$H$94,0))*고양시_Modal_split!E$5 * 0.01</f>
        <v>2.6144709785180664</v>
      </c>
      <c r="AR102" s="213">
        <f>INDEX($A$94:$H$106,MATCH($L102,$B$94:$B$106,0),MATCH($AO$93,$A$94:$H$94,0))*고양시_Modal_split!F$5 * 0.01</f>
        <v>0.55739990404953699</v>
      </c>
      <c r="AS102" s="213">
        <f>INDEX($A$94:$H$106,MATCH($L102,$B$94:$B$106,0),MATCH($AO$93,$A$94:$H$94,0))*고양시_Modal_split!G$5 * 0.01</f>
        <v>0.17252854172961857</v>
      </c>
      <c r="AT102" s="213">
        <f>INDEX($A$94:$H$106,MATCH($L102,$B$94:$B$106,0),MATCH($AO$93,$A$94:$H$94,0))*고양시_Modal_split!H$5 * 0.01</f>
        <v>1.8579996801651229E-2</v>
      </c>
      <c r="AU102" s="213">
        <f>INDEX($A$94:$H$106,MATCH($L102,$B$94:$B$106,0),MATCH($AO$93,$A$94:$H$94,0))*고양시_Modal_split!I$5 * 0.01</f>
        <v>0.73523701629391303</v>
      </c>
      <c r="AV102" s="213">
        <f>INDEX($A$94:$H$106,MATCH($L102,$B$94:$B$106,0),MATCH($AO$93,$A$94:$H$94,0))*고양시_Modal_split!J$5 * 0.01</f>
        <v>1.6642368563764749</v>
      </c>
      <c r="AW102" s="213">
        <f>INDEX($A$94:$H$106,MATCH($L102,$B$94:$B$106,0),MATCH($AO$93,$A$94:$H$94,0))*고양시_Modal_split!K$5 * 0.01</f>
        <v>5.3085705147574947E-3</v>
      </c>
      <c r="AX102" s="213">
        <f>INDEX($A$94:$H$106,MATCH($L102,$B$94:$B$106,0),MATCH($AO$93,$A$94:$H$94,0))*고양시_Modal_split!L$5 * 0.01</f>
        <v>0.67684274063158056</v>
      </c>
      <c r="AY102" s="213">
        <f>INDEX($A$94:$H$106,MATCH($L102,$B$94:$B$106,0),MATCH($AO$93,$A$94:$H$94,0))*고양시_Modal_split!M$5 * 0.01</f>
        <v>0.17783711224437609</v>
      </c>
      <c r="AZ102" s="213">
        <f>INDEX($A$94:$H$106,MATCH($L102,$B$94:$B$106,0),MATCH($AO$93,$A$94:$H$94,0))*고양시_Modal_split!N$5 * 0.01</f>
        <v>4.5122849375438701E-2</v>
      </c>
      <c r="BA102" s="213">
        <f>INDEX($A$94:$H$106,MATCH($L102,$B$94:$B$106,0),MATCH($AO$93,$A$94:$H$94,0))*고양시_Modal_split!O$5 * 0.01</f>
        <v>0.40875992963632712</v>
      </c>
      <c r="BB102" s="213">
        <f>INDEX($A$94:$H$106,MATCH($L102,$B$94:$B$106,0),MATCH($AO$93,$A$94:$H$94,0))*고양시_Modal_split!P$5 * 0.01</f>
        <v>26.542852573787474</v>
      </c>
      <c r="BC102" s="213">
        <f>INDEX($A$94:$H$106,MATCH($L102,$B$94:$B$106,0),MATCH($BC$93,$A$94:$H$94,0))*고양시_Modal_split!C$6 * 0.01</f>
        <v>0</v>
      </c>
      <c r="BD102" s="207">
        <f>INDEX($A$94:$H$106,MATCH($L102,$B$94:$B$106,0),MATCH($BC$93,$A$94:$H$94,0))*고양시_Modal_split!D$6 * 0.01</f>
        <v>3.4541858904693738E-2</v>
      </c>
      <c r="BE102" s="207">
        <f>INDEX($A$94:$H$106,MATCH($L102,$B$94:$B$106,0),MATCH($BC$93,$A$94:$H$94,0))*고양시_Modal_split!E$6 * 0.01</f>
        <v>1.7936238774324731E-4</v>
      </c>
      <c r="BF102" s="207">
        <f>INDEX($A$94:$H$106,MATCH($L102,$B$94:$B$106,0),MATCH($BC$93,$A$94:$H$94,0))*고양시_Modal_split!F$6 * 0.01</f>
        <v>5.0888863499246907E-4</v>
      </c>
      <c r="BG102" s="207">
        <f>INDEX($A$94:$H$106,MATCH($L102,$B$94:$B$106,0),MATCH($BC$93,$A$94:$H$94,0))*고양시_Modal_split!G$6 * 0.01</f>
        <v>0</v>
      </c>
      <c r="BH102" s="207">
        <f>INDEX($A$94:$H$106,MATCH($L102,$B$94:$B$106,0),MATCH($BC$93,$A$94:$H$94,0))*고양시_Modal_split!H$6 * 0.01</f>
        <v>2.2149169277131237E-3</v>
      </c>
      <c r="BI102" s="207">
        <f>INDEX($A$94:$H$106,MATCH($L102,$B$94:$B$106,0),MATCH($BC$93,$A$94:$H$94,0))*고양시_Modal_split!I$6 * 0.01</f>
        <v>1.4766112851420823E-3</v>
      </c>
      <c r="BJ102" s="207">
        <f>INDEX($A$94:$H$106,MATCH($L102,$B$94:$B$106,0),MATCH($BC$93,$A$94:$H$94,0))*고양시_Modal_split!J$6 * 0.01</f>
        <v>2.0605818498875385E-3</v>
      </c>
      <c r="BK102" s="207">
        <f>INDEX($A$94:$H$106,MATCH($L102,$B$94:$B$106,0),MATCH($BC$93,$A$94:$H$94,0))*고양시_Modal_split!K$6 * 0.01</f>
        <v>0</v>
      </c>
      <c r="BL102" s="207">
        <f>INDEX($A$94:$H$106,MATCH($L102,$B$94:$B$106,0),MATCH($BC$93,$A$94:$H$94,0))*고양시_Modal_split!L$6 * 0.01</f>
        <v>3.1701259229039054E-4</v>
      </c>
      <c r="BM102" s="207">
        <f>INDEX($A$94:$H$106,MATCH($L102,$B$94:$B$106,0),MATCH($BC$93,$A$94:$H$94,0))*고양시_Modal_split!M$6 * 0.01</f>
        <v>3.795808670845466E-4</v>
      </c>
      <c r="BN102" s="207">
        <f>INDEX($A$94:$H$106,MATCH($L102,$B$94:$B$106,0),MATCH($BC$93,$A$94:$H$94,0))*고양시_Modal_split!N$6 * 0.01</f>
        <v>0</v>
      </c>
      <c r="BO102" s="207">
        <f>INDEX($A$94:$H$106,MATCH($L102,$B$94:$B$106,0),MATCH($BC$93,$A$94:$H$94,0))*고양시_Modal_split!O$6 * 0.01</f>
        <v>3.336974655688322E-5</v>
      </c>
      <c r="BP102" s="214">
        <f>INDEX($A$94:$H$106,MATCH($L102,$B$94:$B$106,0),MATCH($BC$93,$A$94:$H$94,0))*고양시_Modal_split!P$6 * 0.01</f>
        <v>4.1712183196104022E-2</v>
      </c>
      <c r="BQ102" s="213">
        <f>INDEX($A$94:$H$106,MATCH($L102,$B$94:$B$106,0),MATCH($BQ$93,$A$94:$H$94,0))*고양시_Modal_split!C$7 * 0.01</f>
        <v>0</v>
      </c>
      <c r="BR102" s="213">
        <f>INDEX($A$94:$H$106,MATCH($L102,$B$94:$B$106,0),MATCH($BQ$93,$A$94:$H$94,0))*고양시_Modal_split!D$7 * 0.01</f>
        <v>9.6564631036385087E-2</v>
      </c>
      <c r="BS102" s="213">
        <f>INDEX($A$94:$H$106,MATCH($L102,$B$94:$B$106,0),MATCH($BQ$93,$A$94:$H$94,0))*고양시_Modal_split!E$7 * 0.01</f>
        <v>4.7116228263510349E-3</v>
      </c>
      <c r="BT102" s="213">
        <f>INDEX($A$94:$H$106,MATCH($L102,$B$94:$B$106,0),MATCH($BQ$93,$A$94:$H$94,0))*고양시_Modal_split!F$7 * 0.01</f>
        <v>1.5757935874083728E-3</v>
      </c>
      <c r="BU102" s="213">
        <f>INDEX($A$94:$H$106,MATCH($L102,$B$94:$B$106,0),MATCH($BQ$93,$A$94:$H$94,0))*고양시_Modal_split!G$7 * 0.01</f>
        <v>6.6183330671151666E-4</v>
      </c>
      <c r="BV102" s="213">
        <f>INDEX($A$94:$H$106,MATCH($L102,$B$94:$B$106,0),MATCH($BQ$93,$A$94:$H$94,0))*고양시_Modal_split!H$7 * 0.01</f>
        <v>8.8086861536128044E-3</v>
      </c>
      <c r="BW102" s="213">
        <f>INDEX($A$94:$H$106,MATCH($L102,$B$94:$B$106,0),MATCH($BQ$93,$A$94:$H$94,0))*고양시_Modal_split!I$7 * 0.01</f>
        <v>2.9420066276914323E-2</v>
      </c>
      <c r="BX102" s="213">
        <f>INDEX($A$94:$H$106,MATCH($L102,$B$94:$B$106,0),MATCH($BQ$93,$A$94:$H$94,0))*고양시_Modal_split!J$7 * 0.01</f>
        <v>3.151587174816746E-5</v>
      </c>
      <c r="BY102" s="213">
        <f>INDEX($A$94:$H$106,MATCH($L102,$B$94:$B$106,0),MATCH($BQ$93,$A$94:$H$94,0))*고양시_Modal_split!K$7 * 0.01</f>
        <v>1.2133610623044471E-2</v>
      </c>
      <c r="BZ102" s="213">
        <f>INDEX($A$94:$H$106,MATCH($L102,$B$94:$B$106,0),MATCH($BQ$93,$A$94:$H$94,0))*고양시_Modal_split!L$7 * 0.01</f>
        <v>1.1030555111858609E-4</v>
      </c>
      <c r="CA102" s="213">
        <f>INDEX($A$94:$H$106,MATCH($L102,$B$94:$B$106,0),MATCH($BQ$93,$A$94:$H$94,0))*고양시_Modal_split!M$7 * 0.01</f>
        <v>2.9467340084536574E-3</v>
      </c>
      <c r="CB102" s="213">
        <f>INDEX($A$94:$H$106,MATCH($L102,$B$94:$B$106,0),MATCH($BQ$93,$A$94:$H$94,0))*고양시_Modal_split!N$7 * 0.01</f>
        <v>6.1455949908926534E-4</v>
      </c>
      <c r="CC102" s="213">
        <f>INDEX($A$94:$H$106,MATCH($L102,$B$94:$B$106,0),MATCH($BQ$93,$A$94:$H$94,0))*고양시_Modal_split!O$7 * 0.01</f>
        <v>0</v>
      </c>
      <c r="CD102" s="213">
        <f>INDEX($A$94:$H$106,MATCH($L102,$B$94:$B$106,0),MATCH($BQ$93,$A$94:$H$94,0))*고양시_Modal_split!P$7 * 0.01</f>
        <v>0.15757935874083728</v>
      </c>
      <c r="CE102" s="218">
        <f t="shared" si="58"/>
        <v>141.03496931458776</v>
      </c>
      <c r="CF102" s="208">
        <f t="shared" si="39"/>
        <v>198.03013261081304</v>
      </c>
      <c r="CG102" s="208">
        <f t="shared" si="40"/>
        <v>42.207327203264583</v>
      </c>
      <c r="CH102" s="208">
        <f t="shared" si="41"/>
        <v>10.81741327122575</v>
      </c>
      <c r="CI102" s="208">
        <f t="shared" si="42"/>
        <v>54.941276715209334</v>
      </c>
      <c r="CJ102" s="208">
        <f t="shared" si="43"/>
        <v>3.5996687160833367E-2</v>
      </c>
      <c r="CK102" s="208">
        <f t="shared" si="44"/>
        <v>18.644703984505938</v>
      </c>
      <c r="CL102" s="208">
        <f t="shared" si="45"/>
        <v>42.91915256153667</v>
      </c>
      <c r="CM102" s="208">
        <f t="shared" si="46"/>
        <v>0.11333849030564506</v>
      </c>
      <c r="CN102" s="208">
        <f t="shared" si="47"/>
        <v>23.983835625485121</v>
      </c>
      <c r="CO102" s="208">
        <f t="shared" si="48"/>
        <v>3.4281658305916372</v>
      </c>
      <c r="CP102" s="208">
        <f t="shared" si="49"/>
        <v>11.676688416283799</v>
      </c>
      <c r="CQ102" s="208">
        <f t="shared" si="50"/>
        <v>5.5208215685447621</v>
      </c>
      <c r="CR102" s="219">
        <f t="shared" si="51"/>
        <v>553.35382227951482</v>
      </c>
      <c r="CS102" s="225">
        <f t="shared" si="59"/>
        <v>0</v>
      </c>
      <c r="CV102" s="265"/>
      <c r="CW102" s="271" t="s">
        <v>486</v>
      </c>
      <c r="CX102" s="267">
        <f>INDEX($M$93:$Z$106,MATCH($CW102,$L$93:$L$106,0),MATCH(CX$94,$M$94:$Z$94,0))/INDEX(고양시_재차인원!$D$4:$H$35,MATCH("고양시",고양시_재차인원!$B$4:$B$35,0),MATCH('A.일산테크노밸리(859991)_수정'!$CX$93,고양시_재차인원!$D$4:$H$4,0))</f>
        <v>26.845258453355125</v>
      </c>
      <c r="CY102" s="267">
        <f>INDEX($M$93:$Z$106,MATCH($CW102,$L$93:$L$106,0),MATCH(CY$94,$M$94:$Z$94,0))/INDEX(고양시_재차인원!$K$4:$O$20,MATCH("경기도",고양시_재차인원!$K$4:$K$20,0),MATCH('A.일산테크노밸리(859991)_수정'!CY$94,고양시_재차인원!$K$4:$O$4,0))</f>
        <v>2.2205930107176827E-4</v>
      </c>
      <c r="CZ102" s="267">
        <f>INDEX($M$93:$Z$106,MATCH($CW102,$L$93:$L$106,0),MATCH(CZ$94,$M$94:$Z$94,0))/INDEX(고양시_재차인원!$K$4:$O$20,MATCH("경기도",고양시_재차인원!$K$4:$K$20,0),MATCH('A.일산테크노밸리(859991)_수정'!CZ$94,고양시_재차인원!$K$4:$O$4,0))</f>
        <v>6.1732485697951561E-2</v>
      </c>
      <c r="DA102" s="267">
        <f>INDEX($M$93:$Z$106,MATCH($CW102,$L$93:$L$106,0),MATCH(DA$94,$M$94:$Z$94,0))/INDEX(고양시_재차인원!$K$4:$O$20,MATCH("경기도",고양시_재차인원!$K$4:$K$20,0),MATCH('A.일산테크노밸리(859991)_수정'!DA$94,고양시_재차인원!$K$4:$O$4,0))</f>
        <v>1.2871415719417163</v>
      </c>
      <c r="DB102" s="268">
        <f>INDEX($AA$93:$AN$106,MATCH($CW102,$L$93:$L$106,0),MATCH(DB$94,$AA$94:$AN$94,0))/INDEX(고양시_재차인원!$D$4:$H$35,MATCH("고양시",고양시_재차인원!$B$4:$B$35,0),MATCH('A.일산테크노밸리(859991)_수정'!$DB$93,고양시_재차인원!$D$4:$H$4,0))</f>
        <v>105.23527254400196</v>
      </c>
      <c r="DC102" s="267">
        <f>INDEX($AA$93:$AN$106,MATCH($CW102,$L$93:$L$106,0),MATCH(DC$94,$AA$94:$AN$94,0))/INDEX(고양시_재차인원!$K$4:$O$20,MATCH("경기도",고양시_재차인원!$K$4:$K$20,0),MATCH('A.일산테크노밸리(859991)_수정'!DC$94,고양시_재차인원!$K$4:$O$4,0))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2" s="267">
        <f>INDEX($AA$93:$AN$106,MATCH($CW102,$L$93:$L$106,0),MATCH(DD$94,$AA$94:$AN$94,0))/INDEX(고양시_재차인원!$K$4:$O$20,MATCH("경기도",고양시_재차인원!$K$4:$K$20,0),MATCH('A.일산테크노밸리(859991)_수정'!DD$94,고양시_재차인원!$K$4:$O$4,0))</f>
        <v>0.55926682971191199</v>
      </c>
      <c r="DE102" s="267">
        <f>INDEX($AA$93:$AN$106,MATCH($CW102,$L$93:$L$106,0),MATCH(DE$94,$AA$94:$AN$94,0))/INDEX(고양시_재차인원!$K$4:$O$20,MATCH("경기도",고양시_재차인원!$K$4:$K$20,0),MATCH('A.일산테크노밸리(859991)_수정'!DE$94,고양시_재차인원!$K$4:$O$4,0))</f>
        <v>14.250568805865036</v>
      </c>
      <c r="DF102" s="268">
        <f>INDEX($AO$93:$BB$106,MATCH($CW102,$L$93:$L$106,0),MATCH(DF$94,$AO$94:$BB$94,0))/INDEX(고양시_재차인원!$D$4:$H$35,MATCH("고양시",고양시_재차인원!$B$4:$B$35,0),MATCH('A.일산테크노밸리(859991)_수정'!$DF$93,고양시_재차인원!$D$4:$H$4,0))</f>
        <v>14.962001820054969</v>
      </c>
      <c r="DG102" s="267">
        <f>INDEX($AO$93:$BB$106,MATCH($CW102,$L$93:$L$106,0),MATCH(DG$94,$AO$94:$BB$94,0))/INDEX(고양시_재차인원!$K$4:$O$20,MATCH("경기도",고양시_재차인원!$K$4:$K$20,0),MATCH('A.일산테크노밸리(859991)_수정'!DG$94,고양시_재차인원!$K$4:$O$4,0))</f>
        <v>6.4536286216225187E-4</v>
      </c>
      <c r="DH102" s="267">
        <f>INDEX($AO$93:$BB$106,MATCH($CW102,$L$93:$L$106,0),MATCH(DH$94,$AO$94:$BB$94,0))/INDEX(고양시_재차인원!$K$4:$O$20,MATCH("경기도",고양시_재차인원!$K$4:$K$20,0),MATCH('A.일산테크노밸리(859991)_수정'!DH$94,고양시_재차인원!$K$4:$O$4,0))</f>
        <v>2.5537930402706254E-2</v>
      </c>
      <c r="DI102" s="267">
        <f>INDEX($AO$93:$BB$106,MATCH($CW102,$L$93:$L$106,0),MATCH(DI$94,$AO$94:$BB$94,0))/INDEX(고양시_재차인원!$K$4:$O$20,MATCH("경기도",고양시_재차인원!$K$4:$K$20,0),MATCH('A.일산테크노밸리(859991)_수정'!DI$94,고양시_재차인원!$K$4:$O$4,0))</f>
        <v>0.45122849375438706</v>
      </c>
      <c r="DJ102" s="268">
        <f>INDEX($BC$93:$BP$106,MATCH($CW102,$L$93:$L$106,0),MATCH(DJ$94,$BC$94:$BP$94,0))/INDEX(고양시_재차인원!$D$4:$H$35,MATCH("고양시",고양시_재차인원!$B$4:$B$35,0),MATCH('A.일산테크노밸리(859991)_수정'!$DJ$93,고양시_재차인원!$D$4:$H$4,0))</f>
        <v>2.5398425665215982E-2</v>
      </c>
      <c r="DK102" s="267">
        <f>INDEX($BC$93:$BP$106,MATCH($CW102,$L$93:$L$106,0),MATCH(DK$94,$BC$94:$BP$94,0))/INDEX(고양시_재차인원!$K$4:$O$20,MATCH("경기도",고양시_재차인원!$K$4:$K$20,0),MATCH('A.일산테크노밸리(859991)_수정'!DK$94,고양시_재차인원!$K$4:$O$4,0))</f>
        <v>7.6933550806291206E-5</v>
      </c>
      <c r="DL102" s="267">
        <f>INDEX($BC$93:$BP$106,MATCH($CW102,$L$93:$L$106,0),MATCH(DL$94,$BC$94:$BP$94,0))/INDEX(고양시_재차인원!$K$4:$O$20,MATCH("경기도",고양시_재차인원!$K$4:$K$20,0),MATCH('A.일산테크노밸리(859991)_수정'!DL$94,고양시_재차인원!$K$4:$O$4,0))</f>
        <v>5.1289033870860797E-5</v>
      </c>
      <c r="DM102" s="267">
        <f>INDEX($BC$93:$BP$106,MATCH($CW102,$L$93:$L$106,0),MATCH(DM$94,$BC$94:$BP$94,0))/INDEX(고양시_재차인원!$K$4:$O$20,MATCH("경기도",고양시_재차인원!$K$4:$K$20,0),MATCH('A.일산테크노밸리(859991)_수정'!DM$94,고양시_재차인원!$K$4:$O$4,0))</f>
        <v>2.113417281935937E-4</v>
      </c>
      <c r="DN102" s="268">
        <f>INDEX($BQ$93:$CD$106,MATCH($CW102,$L$93:$L$106,0),MATCH(DN$94,$BQ$94:$CD$94,0))/INDEX(고양시_재차인원!$D$4:$H$35,MATCH("고양시",고양시_재차인원!$B$4:$B$35,0),MATCH('A.일산테크노밸리(859991)_수정'!$DN$93,고양시_재차인원!$D$4:$H$4,0))</f>
        <v>7.6638596060623079E-2</v>
      </c>
      <c r="DO102" s="267">
        <f>INDEX($BQ$93:$CD$106,MATCH($CW102,$L$93:$L$106,0),MATCH(DO$94,$BQ$94:$CD$94,0))/INDEX(고양시_재차인원!$K$4:$O$20,MATCH("경기도",고양시_재차인원!$K$4:$K$20,0),MATCH('A.일산테크노밸리(859991)_수정'!DO$94,고양시_재차인원!$K$4:$O$4,0))</f>
        <v>3.0596339540162575E-4</v>
      </c>
      <c r="DP102" s="267">
        <f>INDEX($BQ$93:$CD$106,MATCH($CW102,$L$93:$L$106,0),MATCH(DP$94,$BQ$94:$CD$94,0))/INDEX(고양시_재차인원!$K$4:$O$20,MATCH("경기도",고양시_재차인원!$K$4:$K$20,0),MATCH('A.일산테크노밸리(859991)_수정'!DP$94,고양시_재차인원!$K$4:$O$4,0))</f>
        <v>1.0218849002054298E-3</v>
      </c>
      <c r="DQ102" s="267">
        <f>INDEX($BQ$93:$CD$106,MATCH($CW102,$L$93:$L$106,0),MATCH(DQ$94,$BQ$94:$CD$94,0))/INDEX(고양시_재차인원!$K$4:$O$20,MATCH("경기도",고양시_재차인원!$K$4:$K$20,0),MATCH('A.일산테크노밸리(859991)_수정'!DQ$94,고양시_재차인원!$K$4:$O$4,0))</f>
        <v>7.353703407905739E-5</v>
      </c>
      <c r="DR102" s="269">
        <f t="shared" si="60"/>
        <v>147.14456983913789</v>
      </c>
      <c r="DS102" s="270">
        <f t="shared" si="52"/>
        <v>1.250319109441937E-3</v>
      </c>
      <c r="DT102" s="270">
        <f t="shared" si="53"/>
        <v>0.64761041974664602</v>
      </c>
      <c r="DU102" s="270">
        <f t="shared" si="54"/>
        <v>15.989223750323415</v>
      </c>
      <c r="DW102" s="278"/>
      <c r="DX102" s="278" t="s">
        <v>595</v>
      </c>
      <c r="DY102" s="281">
        <f>DR104+DU104</f>
        <v>290.8153085067031</v>
      </c>
      <c r="DZ102" s="281">
        <f>DS104+DT104</f>
        <v>1.1567108923071769</v>
      </c>
      <c r="EC102" s="412" t="s">
        <v>15</v>
      </c>
      <c r="ED102" s="412" t="s">
        <v>573</v>
      </c>
      <c r="EE102" s="412">
        <v>21685.084499999997</v>
      </c>
      <c r="EF102" s="412">
        <v>0.10071399380839066</v>
      </c>
      <c r="EG102" s="413">
        <v>859009</v>
      </c>
      <c r="EH102" s="414">
        <f t="shared" si="55"/>
        <v>756.53313039195223</v>
      </c>
      <c r="EI102" s="415">
        <f t="shared" si="56"/>
        <v>3.0090923232655289</v>
      </c>
      <c r="EJ102" s="402">
        <v>0</v>
      </c>
      <c r="EM102" s="278" t="s">
        <v>15</v>
      </c>
      <c r="EN102" s="278" t="s">
        <v>573</v>
      </c>
      <c r="EO102" s="278">
        <v>21685.084499999997</v>
      </c>
      <c r="EP102" s="278">
        <v>0.10071399380839066</v>
      </c>
      <c r="EQ102" s="289">
        <v>859009</v>
      </c>
      <c r="ER102" s="290">
        <f t="shared" si="37"/>
        <v>756.53313039195223</v>
      </c>
      <c r="ES102" s="291">
        <f t="shared" si="38"/>
        <v>3.0090923232655289</v>
      </c>
      <c r="ET102" s="402">
        <v>0</v>
      </c>
      <c r="EV102" s="34"/>
      <c r="EW102" s="34"/>
      <c r="EX102" s="34"/>
      <c r="EY102" s="34"/>
      <c r="EZ102" s="378"/>
      <c r="FA102" s="401"/>
      <c r="FB102" s="402"/>
      <c r="FC102" s="402"/>
    </row>
    <row r="103" spans="1:159">
      <c r="A103" s="205" t="s">
        <v>491</v>
      </c>
      <c r="B103" s="203" t="s">
        <v>23</v>
      </c>
      <c r="C103" s="400">
        <f>'A.일산테크노밸리(859991)_수정'!$P36*KTDB_TripDistribution_2045!T$12 * (1+KTDB_발생량도착량_증가율!$D$8 *5) * (1+KTDB_발생량도착량_증가율!$E$8 *5) * (1+KTDB_발생량도착량_증가율!$F$8 *5) * (1+KTDB_발생량도착량_증가율!$G$8 *5)</f>
        <v>212.89398484102855</v>
      </c>
      <c r="D103" s="400">
        <f>'A.일산테크노밸리(859991)_수정'!$P36*KTDB_TripDistribution_2045!U$12 * (1+KTDB_발생량도착량_증가율!$D$8 *5) * (1+KTDB_발생량도착량_증가율!$E$8 *5) * (1+KTDB_발생량도착량_증가율!$F$8 *5) * (1+KTDB_발생량도착량_증가율!$G$8 *5)</f>
        <v>1540.7573225083261</v>
      </c>
      <c r="E103" s="400">
        <f>'A.일산테크노밸리(859991)_수정'!$P36*KTDB_TripDistribution_2045!V$12 * (1+KTDB_발생량도착량_증가율!$D$8 *5) * (1+KTDB_발생량도착량_증가율!$E$8 *5) * (1+KTDB_발생량도착량_증가율!$F$8 *5) * (1+KTDB_발생량도착량_증가율!$G$8 *5)</f>
        <v>88.389433897677904</v>
      </c>
      <c r="F103" s="400">
        <f>'A.일산테크노밸리(859991)_수정'!$P36*KTDB_TripDistribution_2045!W$12 * (1+KTDB_발생량도착량_증가율!$D$8 *5) * (1+KTDB_발생량도착량_증가율!$E$8 *5) * (1+KTDB_발생량도착량_증가율!$F$8 *5) * (1+KTDB_발생량도착량_증가율!$G$8 *5)</f>
        <v>0.13890429632950979</v>
      </c>
      <c r="G103" s="400">
        <f>'A.일산테크노밸리(859991)_수정'!$P36*KTDB_TripDistribution_2045!X$12 * (1+KTDB_발생량도착량_증가율!$D$8 *5) * (1+KTDB_발생량도착량_증가율!$E$8 *5) * (1+KTDB_발생량도착량_증가율!$F$8 *5) * (1+KTDB_발생량도착량_증가율!$G$8 *5)</f>
        <v>0.52474956391148098</v>
      </c>
      <c r="H103" s="400">
        <f>'A.일산테크노밸리(859991)_수정'!$P36*KTDB_TripDistribution_2045!Y$12 * (1+KTDB_발생량도착량_증가율!$D$8 *5) * (1+KTDB_발생량도착량_증가율!$E$8 *5) * (1+KTDB_발생량도착량_증가율!$F$8 *5) * (1+KTDB_발생량도착량_증가율!$G$8 *5)</f>
        <v>1842.7043951072735</v>
      </c>
      <c r="J103" s="230">
        <f t="shared" si="57"/>
        <v>1842.7043951072735</v>
      </c>
      <c r="K103" s="206"/>
      <c r="L103" s="210" t="s">
        <v>23</v>
      </c>
      <c r="M103" s="213">
        <f>INDEX($A$94:$H$106,MATCH($L103,$B$94:$B$106,0),MATCH($M$93,$A$94:$H$94,0))*고양시_Modal_split!C$3 * 0.01</f>
        <v>0.59610315755487986</v>
      </c>
      <c r="N103" s="213">
        <f>INDEX($A$94:$H$106,MATCH($L103,$B$94:$B$106,0),MATCH($M$93,$A$94:$H$94,0))*고양시_Modal_split!D$3 * 0.01</f>
        <v>100.12404107073573</v>
      </c>
      <c r="O103" s="213">
        <f>INDEX($A$94:$H$106,MATCH($L103,$B$94:$B$106,0),MATCH($M$93,$A$94:$H$94,0))*고양시_Modal_split!E$3 * 0.01</f>
        <v>12.113667737454524</v>
      </c>
      <c r="P103" s="213">
        <f>INDEX($A$94:$H$106,MATCH($L103,$B$94:$B$106,0),MATCH($M$93,$A$94:$H$94,0))*고양시_Modal_split!F$3 * 0.01</f>
        <v>19.522378409922318</v>
      </c>
      <c r="Q103" s="213">
        <f>INDEX($A$94:$H$106,MATCH($L103,$B$94:$B$106,0),MATCH($M$93,$A$94:$H$94,0))*고양시_Modal_split!G$3 * 0.01</f>
        <v>1.9586246605374626</v>
      </c>
      <c r="R103" s="213">
        <f>INDEX($A$94:$H$106,MATCH($L103,$B$94:$B$106,0),MATCH($M$93,$A$94:$H$94,0))*고양시_Modal_split!H$3 * 0.01</f>
        <v>2.1289398484102856E-2</v>
      </c>
      <c r="S103" s="213">
        <f>INDEX($A$94:$H$106,MATCH($L103,$B$94:$B$106,0),MATCH($M$93,$A$94:$H$94,0))*고양시_Modal_split!I$3 * 0.01</f>
        <v>5.918452778580594</v>
      </c>
      <c r="T103" s="213">
        <f>INDEX($A$94:$H$106,MATCH($L103,$B$94:$B$106,0),MATCH($M$93,$A$94:$H$94,0))*고양시_Modal_split!J$3 * 0.01</f>
        <v>64.804928985609095</v>
      </c>
      <c r="U103" s="213">
        <f>INDEX($A$94:$H$106,MATCH($L103,$B$94:$B$106,0),MATCH($M$93,$A$94:$H$94,0))*고양시_Modal_split!K$3 * 0.01</f>
        <v>0.31934097726154281</v>
      </c>
      <c r="V103" s="213">
        <f>INDEX($A$94:$H$106,MATCH($L103,$B$94:$B$106,0),MATCH($M$93,$A$94:$H$94,0))*고양시_Modal_split!L$3 * 0.01</f>
        <v>6.4293983421990628</v>
      </c>
      <c r="W103" s="213">
        <f>INDEX($A$94:$H$106,MATCH($L103,$B$94:$B$106,0),MATCH($M$93,$A$94:$H$94,0))*고양시_Modal_split!M$3 * 0.01</f>
        <v>0.48965616513436566</v>
      </c>
      <c r="X103" s="213">
        <f>INDEX($A$94:$H$106,MATCH($L103,$B$94:$B$106,0),MATCH($M$93,$A$94:$H$94,0))*고양시_Modal_split!N$3 * 0.01</f>
        <v>0.21289398484102859</v>
      </c>
      <c r="Y103" s="213">
        <f>INDEX($A$94:$H$106,MATCH($L103,$B$94:$B$106,0),MATCH($M$93,$A$94:$H$94,0))*고양시_Modal_split!O$3 * 0.01</f>
        <v>0.38320917271385141</v>
      </c>
      <c r="Z103" s="213">
        <f>INDEX($A$94:$H$106,MATCH($L103,$B$94:$B$106,0),MATCH($M$93,$A$94:$H$94,0))*고양시_Modal_split!P$3 * 0.01</f>
        <v>212.89398484102855</v>
      </c>
      <c r="AA103" s="213">
        <f>INDEX($A$94:$H$106,MATCH($L103,$B$94:$B$106,0),MATCH($AA$93,$A$94:$H$94,0))*고양시_Modal_split!C$4 * 0.01</f>
        <v>469.00652897153452</v>
      </c>
      <c r="AB103" s="213">
        <f>INDEX($A$94:$H$106,MATCH($L103,$B$94:$B$106,0),MATCH($AA$93,$A$94:$H$94,0))*고양시_Modal_split!D$4 * 0.01</f>
        <v>494.1208733284202</v>
      </c>
      <c r="AC103" s="213">
        <f>INDEX($A$94:$H$106,MATCH($L103,$B$94:$B$106,0),MATCH($AA$93,$A$94:$H$94,0))*고양시_Modal_split!E$4 * 0.01</f>
        <v>119.71684395889693</v>
      </c>
      <c r="AD103" s="213">
        <f>INDEX($A$94:$H$106,MATCH($L103,$B$94:$B$106,0),MATCH($AA$93,$A$94:$H$94,0))*고양시_Modal_split!F$4 * 0.01</f>
        <v>14.637194563829096</v>
      </c>
      <c r="AE103" s="213">
        <f>INDEX($A$94:$H$106,MATCH($L103,$B$94:$B$106,0),MATCH($AA$93,$A$94:$H$94,0))*고양시_Modal_split!G$4 * 0.01</f>
        <v>180.42268246572499</v>
      </c>
      <c r="AF103" s="213">
        <f>INDEX($A$94:$H$106,MATCH($L103,$B$94:$B$106,0),MATCH($AA$93,$A$94:$H$94,0))*고양시_Modal_split!H$4 * 0.01</f>
        <v>0</v>
      </c>
      <c r="AG103" s="213">
        <f>INDEX($A$94:$H$106,MATCH($L103,$B$94:$B$106,0),MATCH($AA$93,$A$94:$H$94,0))*고양시_Modal_split!I$4 * 0.01</f>
        <v>53.618354823289735</v>
      </c>
      <c r="AH103" s="213">
        <f>INDEX($A$94:$H$106,MATCH($L103,$B$94:$B$106,0),MATCH($AA$93,$A$94:$H$94,0))*고양시_Modal_split!J$4 * 0.01</f>
        <v>72.569669890142166</v>
      </c>
      <c r="AI103" s="213">
        <f>INDEX($A$94:$H$106,MATCH($L103,$B$94:$B$106,0),MATCH($AA$93,$A$94:$H$94,0))*고양시_Modal_split!K$4 * 0.01</f>
        <v>0</v>
      </c>
      <c r="AJ103" s="213">
        <f>INDEX($A$94:$H$106,MATCH($L103,$B$94:$B$106,0),MATCH($AA$93,$A$94:$H$94,0))*고양시_Modal_split!L$4 * 0.01</f>
        <v>71.18298829988467</v>
      </c>
      <c r="AK103" s="213">
        <f>INDEX($A$94:$H$106,MATCH($L103,$B$94:$B$106,0),MATCH($AA$93,$A$94:$H$94,0))*고양시_Modal_split!M$4 * 0.01</f>
        <v>10.323074060805787</v>
      </c>
      <c r="AL103" s="213">
        <f>INDEX($A$94:$H$106,MATCH($L103,$B$94:$B$106,0),MATCH($AA$93,$A$94:$H$94,0))*고양시_Modal_split!N$4 * 0.01</f>
        <v>38.51893306270815</v>
      </c>
      <c r="AM103" s="213">
        <f>INDEX($A$94:$H$106,MATCH($L103,$B$94:$B$106,0),MATCH($AA$93,$A$94:$H$94,0))*고양시_Modal_split!O$4 * 0.01</f>
        <v>16.640179083089922</v>
      </c>
      <c r="AN103" s="213">
        <f>INDEX($A$94:$H$106,MATCH($L103,$B$94:$B$106,0),MATCH($AA$93,$A$94:$H$94,0))*고양시_Modal_split!P$4 * 0.01</f>
        <v>1540.7573225083261</v>
      </c>
      <c r="AO103" s="213">
        <f>INDEX($A$94:$H$106,MATCH($L103,$B$94:$B$106,0),MATCH($AO$93,$A$94:$H$94,0))*고양시_Modal_split!C$5 * 0.01</f>
        <v>5.3033660338606736E-2</v>
      </c>
      <c r="AP103" s="213">
        <f>INDEX($A$94:$H$106,MATCH($L103,$B$94:$B$106,0),MATCH($AO$93,$A$94:$H$94,0))*고양시_Modal_split!D$5 * 0.01</f>
        <v>64.771777160218377</v>
      </c>
      <c r="AQ103" s="213">
        <f>INDEX($A$94:$H$106,MATCH($L103,$B$94:$B$106,0),MATCH($AO$93,$A$94:$H$94,0))*고양시_Modal_split!E$5 * 0.01</f>
        <v>8.7063592389212729</v>
      </c>
      <c r="AR103" s="213">
        <f>INDEX($A$94:$H$106,MATCH($L103,$B$94:$B$106,0),MATCH($AO$93,$A$94:$H$94,0))*고양시_Modal_split!F$5 * 0.01</f>
        <v>1.8561781118512359</v>
      </c>
      <c r="AS103" s="213">
        <f>INDEX($A$94:$H$106,MATCH($L103,$B$94:$B$106,0),MATCH($AO$93,$A$94:$H$94,0))*고양시_Modal_split!G$5 * 0.01</f>
        <v>0.57453132033490639</v>
      </c>
      <c r="AT103" s="213">
        <f>INDEX($A$94:$H$106,MATCH($L103,$B$94:$B$106,0),MATCH($AO$93,$A$94:$H$94,0))*고양시_Modal_split!H$5 * 0.01</f>
        <v>6.1872603728374526E-2</v>
      </c>
      <c r="AU103" s="213">
        <f>INDEX($A$94:$H$106,MATCH($L103,$B$94:$B$106,0),MATCH($AO$93,$A$94:$H$94,0))*고양시_Modal_split!I$5 * 0.01</f>
        <v>2.4483873189656782</v>
      </c>
      <c r="AV103" s="213">
        <f>INDEX($A$94:$H$106,MATCH($L103,$B$94:$B$106,0),MATCH($AO$93,$A$94:$H$94,0))*고양시_Modal_split!J$5 * 0.01</f>
        <v>5.542017505384405</v>
      </c>
      <c r="AW103" s="213">
        <f>INDEX($A$94:$H$106,MATCH($L103,$B$94:$B$106,0),MATCH($AO$93,$A$94:$H$94,0))*고양시_Modal_split!K$5 * 0.01</f>
        <v>1.7677886779535582E-2</v>
      </c>
      <c r="AX103" s="213">
        <f>INDEX($A$94:$H$106,MATCH($L103,$B$94:$B$106,0),MATCH($AO$93,$A$94:$H$94,0))*고양시_Modal_split!L$5 * 0.01</f>
        <v>2.2539305643907865</v>
      </c>
      <c r="AY103" s="213">
        <f>INDEX($A$94:$H$106,MATCH($L103,$B$94:$B$106,0),MATCH($AO$93,$A$94:$H$94,0))*고양시_Modal_split!M$5 * 0.01</f>
        <v>0.59220920711444203</v>
      </c>
      <c r="AZ103" s="213">
        <f>INDEX($A$94:$H$106,MATCH($L103,$B$94:$B$106,0),MATCH($AO$93,$A$94:$H$94,0))*고양시_Modal_split!N$5 * 0.01</f>
        <v>0.15026203762605242</v>
      </c>
      <c r="BA103" s="213">
        <f>INDEX($A$94:$H$106,MATCH($L103,$B$94:$B$106,0),MATCH($AO$93,$A$94:$H$94,0))*고양시_Modal_split!O$5 * 0.01</f>
        <v>1.3611972820242397</v>
      </c>
      <c r="BB103" s="213">
        <f>INDEX($A$94:$H$106,MATCH($L103,$B$94:$B$106,0),MATCH($AO$93,$A$94:$H$94,0))*고양시_Modal_split!P$5 * 0.01</f>
        <v>88.389433897677904</v>
      </c>
      <c r="BC103" s="213">
        <f>INDEX($A$94:$H$106,MATCH($L103,$B$94:$B$106,0),MATCH($BC$93,$A$94:$H$94,0))*고양시_Modal_split!C$6 * 0.01</f>
        <v>0</v>
      </c>
      <c r="BD103" s="207">
        <f>INDEX($A$94:$H$106,MATCH($L103,$B$94:$B$106,0),MATCH($BC$93,$A$94:$H$94,0))*고양시_Modal_split!D$6 * 0.01</f>
        <v>0.11502664779046703</v>
      </c>
      <c r="BE103" s="207">
        <f>INDEX($A$94:$H$106,MATCH($L103,$B$94:$B$106,0),MATCH($BC$93,$A$94:$H$94,0))*고양시_Modal_split!E$6 * 0.01</f>
        <v>5.9728847421689206E-4</v>
      </c>
      <c r="BF103" s="207">
        <f>INDEX($A$94:$H$106,MATCH($L103,$B$94:$B$106,0),MATCH($BC$93,$A$94:$H$94,0))*고양시_Modal_split!F$6 * 0.01</f>
        <v>1.6946324152200193E-3</v>
      </c>
      <c r="BG103" s="207">
        <f>INDEX($A$94:$H$106,MATCH($L103,$B$94:$B$106,0),MATCH($BC$93,$A$94:$H$94,0))*고양시_Modal_split!G$6 * 0.01</f>
        <v>0</v>
      </c>
      <c r="BH103" s="207">
        <f>INDEX($A$94:$H$106,MATCH($L103,$B$94:$B$106,0),MATCH($BC$93,$A$94:$H$94,0))*고양시_Modal_split!H$6 * 0.01</f>
        <v>7.3758181350969711E-3</v>
      </c>
      <c r="BI103" s="207">
        <f>INDEX($A$94:$H$106,MATCH($L103,$B$94:$B$106,0),MATCH($BC$93,$A$94:$H$94,0))*고양시_Modal_split!I$6 * 0.01</f>
        <v>4.9172120900646465E-3</v>
      </c>
      <c r="BJ103" s="207">
        <f>INDEX($A$94:$H$106,MATCH($L103,$B$94:$B$106,0),MATCH($BC$93,$A$94:$H$94,0))*고양시_Modal_split!J$6 * 0.01</f>
        <v>6.861872238677783E-3</v>
      </c>
      <c r="BK103" s="207">
        <f>INDEX($A$94:$H$106,MATCH($L103,$B$94:$B$106,0),MATCH($BC$93,$A$94:$H$94,0))*고양시_Modal_split!K$6 * 0.01</f>
        <v>0</v>
      </c>
      <c r="BL103" s="207">
        <f>INDEX($A$94:$H$106,MATCH($L103,$B$94:$B$106,0),MATCH($BC$93,$A$94:$H$94,0))*고양시_Modal_split!L$6 * 0.01</f>
        <v>1.0556726521042746E-3</v>
      </c>
      <c r="BM103" s="207">
        <f>INDEX($A$94:$H$106,MATCH($L103,$B$94:$B$106,0),MATCH($BC$93,$A$94:$H$94,0))*고양시_Modal_split!M$6 * 0.01</f>
        <v>1.2640290965985391E-3</v>
      </c>
      <c r="BN103" s="207">
        <f>INDEX($A$94:$H$106,MATCH($L103,$B$94:$B$106,0),MATCH($BC$93,$A$94:$H$94,0))*고양시_Modal_split!N$6 * 0.01</f>
        <v>0</v>
      </c>
      <c r="BO103" s="207">
        <f>INDEX($A$94:$H$106,MATCH($L103,$B$94:$B$106,0),MATCH($BC$93,$A$94:$H$94,0))*고양시_Modal_split!O$6 * 0.01</f>
        <v>1.1112343706360784E-4</v>
      </c>
      <c r="BP103" s="214">
        <f>INDEX($A$94:$H$106,MATCH($L103,$B$94:$B$106,0),MATCH($BC$93,$A$94:$H$94,0))*고양시_Modal_split!P$6 * 0.01</f>
        <v>0.13890429632950979</v>
      </c>
      <c r="BQ103" s="213">
        <f>INDEX($A$94:$H$106,MATCH($L103,$B$94:$B$106,0),MATCH($BQ$93,$A$94:$H$94,0))*고양시_Modal_split!C$7 * 0.01</f>
        <v>0</v>
      </c>
      <c r="BR103" s="213">
        <f>INDEX($A$94:$H$106,MATCH($L103,$B$94:$B$106,0),MATCH($BQ$93,$A$94:$H$94,0))*고양시_Modal_split!D$7 * 0.01</f>
        <v>0.32156653276495556</v>
      </c>
      <c r="BS103" s="213">
        <f>INDEX($A$94:$H$106,MATCH($L103,$B$94:$B$106,0),MATCH($BQ$93,$A$94:$H$94,0))*고양시_Modal_split!E$7 * 0.01</f>
        <v>1.5690011960953282E-2</v>
      </c>
      <c r="BT103" s="213">
        <f>INDEX($A$94:$H$106,MATCH($L103,$B$94:$B$106,0),MATCH($BQ$93,$A$94:$H$94,0))*고양시_Modal_split!F$7 * 0.01</f>
        <v>5.2474956391148101E-3</v>
      </c>
      <c r="BU103" s="213">
        <f>INDEX($A$94:$H$106,MATCH($L103,$B$94:$B$106,0),MATCH($BQ$93,$A$94:$H$94,0))*고양시_Modal_split!G$7 * 0.01</f>
        <v>2.20394816842822E-3</v>
      </c>
      <c r="BV103" s="213">
        <f>INDEX($A$94:$H$106,MATCH($L103,$B$94:$B$106,0),MATCH($BQ$93,$A$94:$H$94,0))*고양시_Modal_split!H$7 * 0.01</f>
        <v>2.9333500622651786E-2</v>
      </c>
      <c r="BW103" s="213">
        <f>INDEX($A$94:$H$106,MATCH($L103,$B$94:$B$106,0),MATCH($BQ$93,$A$94:$H$94,0))*고양시_Modal_split!I$7 * 0.01</f>
        <v>9.7970743582273506E-2</v>
      </c>
      <c r="BX103" s="213">
        <f>INDEX($A$94:$H$106,MATCH($L103,$B$94:$B$106,0),MATCH($BQ$93,$A$94:$H$94,0))*고양시_Modal_split!J$7 * 0.01</f>
        <v>1.049499127822962E-4</v>
      </c>
      <c r="BY103" s="213">
        <f>INDEX($A$94:$H$106,MATCH($L103,$B$94:$B$106,0),MATCH($BQ$93,$A$94:$H$94,0))*고양시_Modal_split!K$7 * 0.01</f>
        <v>4.040571642118404E-2</v>
      </c>
      <c r="BZ103" s="213">
        <f>INDEX($A$94:$H$106,MATCH($L103,$B$94:$B$106,0),MATCH($BQ$93,$A$94:$H$94,0))*고양시_Modal_split!L$7 * 0.01</f>
        <v>3.6732469473803667E-4</v>
      </c>
      <c r="CA103" s="213">
        <f>INDEX($A$94:$H$106,MATCH($L103,$B$94:$B$106,0),MATCH($BQ$93,$A$94:$H$94,0))*고양시_Modal_split!M$7 * 0.01</f>
        <v>9.8128168451446958E-3</v>
      </c>
      <c r="CB103" s="213">
        <f>INDEX($A$94:$H$106,MATCH($L103,$B$94:$B$106,0),MATCH($BQ$93,$A$94:$H$94,0))*고양시_Modal_split!N$7 * 0.01</f>
        <v>2.0465232992547757E-3</v>
      </c>
      <c r="CC103" s="213">
        <f>INDEX($A$94:$H$106,MATCH($L103,$B$94:$B$106,0),MATCH($BQ$93,$A$94:$H$94,0))*고양시_Modal_split!O$7 * 0.01</f>
        <v>0</v>
      </c>
      <c r="CD103" s="213">
        <f>INDEX($A$94:$H$106,MATCH($L103,$B$94:$B$106,0),MATCH($BQ$93,$A$94:$H$94,0))*고양시_Modal_split!P$7 * 0.01</f>
        <v>0.52474956391148098</v>
      </c>
      <c r="CE103" s="218">
        <f t="shared" si="58"/>
        <v>469.65566578942799</v>
      </c>
      <c r="CF103" s="208">
        <f t="shared" si="39"/>
        <v>659.4532847399297</v>
      </c>
      <c r="CG103" s="208">
        <f t="shared" si="40"/>
        <v>140.55315823570788</v>
      </c>
      <c r="CH103" s="208">
        <f t="shared" si="41"/>
        <v>36.022693213656993</v>
      </c>
      <c r="CI103" s="208">
        <f t="shared" si="42"/>
        <v>182.95804239476576</v>
      </c>
      <c r="CJ103" s="208">
        <f t="shared" si="43"/>
        <v>0.11987132097022614</v>
      </c>
      <c r="CK103" s="208">
        <f t="shared" si="44"/>
        <v>62.088082876508345</v>
      </c>
      <c r="CL103" s="208">
        <f t="shared" si="45"/>
        <v>142.92358320328711</v>
      </c>
      <c r="CM103" s="208">
        <f t="shared" si="46"/>
        <v>0.37742458046226246</v>
      </c>
      <c r="CN103" s="208">
        <f t="shared" si="47"/>
        <v>79.867740203821356</v>
      </c>
      <c r="CO103" s="208">
        <f t="shared" si="48"/>
        <v>11.416016278996336</v>
      </c>
      <c r="CP103" s="208">
        <f t="shared" si="49"/>
        <v>38.884135608474487</v>
      </c>
      <c r="CQ103" s="208">
        <f t="shared" si="50"/>
        <v>18.384696661265075</v>
      </c>
      <c r="CR103" s="219">
        <f t="shared" si="51"/>
        <v>1842.7043951072735</v>
      </c>
      <c r="CS103" s="225">
        <f t="shared" si="59"/>
        <v>0</v>
      </c>
      <c r="CV103" s="265"/>
      <c r="CW103" s="271" t="s">
        <v>23</v>
      </c>
      <c r="CX103" s="267">
        <f>INDEX($M$93:$Z$106,MATCH($CW103,$L$93:$L$106,0),MATCH(CX$94,$M$94:$Z$94,0))/INDEX(고양시_재차인원!$D$4:$H$35,MATCH("고양시",고양시_재차인원!$B$4:$B$35,0),MATCH('A.일산테크노밸리(859991)_수정'!$CX$93,고양시_재차인원!$D$4:$H$4,0))</f>
        <v>89.396465241728322</v>
      </c>
      <c r="CY103" s="267">
        <f>INDEX($M$93:$Z$106,MATCH($CW103,$L$93:$L$106,0),MATCH(CY$94,$M$94:$Z$94,0))/INDEX(고양시_재차인원!$K$4:$O$20,MATCH("경기도",고양시_재차인원!$K$4:$K$20,0),MATCH('A.일산테크노밸리(859991)_수정'!CY$94,고양시_재차인원!$K$4:$O$4,0))</f>
        <v>7.3947198624879672E-4</v>
      </c>
      <c r="CZ103" s="267">
        <f>INDEX($M$93:$Z$106,MATCH($CW103,$L$93:$L$106,0),MATCH(CZ$94,$M$94:$Z$94,0))/INDEX(고양시_재차인원!$K$4:$O$20,MATCH("경기도",고양시_재차인원!$K$4:$K$20,0),MATCH('A.일산테크노밸리(859991)_수정'!CZ$94,고양시_재차인원!$K$4:$O$4,0))</f>
        <v>0.20557321217716548</v>
      </c>
      <c r="DA103" s="267">
        <f>INDEX($M$93:$Z$106,MATCH($CW103,$L$93:$L$106,0),MATCH(DA$94,$M$94:$Z$94,0))/INDEX(고양시_재차인원!$K$4:$O$20,MATCH("경기도",고양시_재차인원!$K$4:$K$20,0),MATCH('A.일산테크노밸리(859991)_수정'!DA$94,고양시_재차인원!$K$4:$O$4,0))</f>
        <v>4.2862655614660419</v>
      </c>
      <c r="DB103" s="268">
        <f>INDEX($AA$93:$AN$106,MATCH($CW103,$L$93:$L$106,0),MATCH(DB$94,$AA$94:$AN$94,0))/INDEX(고양시_재차인원!$D$4:$H$35,MATCH("고양시",고양시_재차인원!$B$4:$B$35,0),MATCH('A.일산테크노밸리(859991)_수정'!$DB$93,고양시_재차인원!$D$4:$H$4,0))</f>
        <v>350.44033569391507</v>
      </c>
      <c r="DC103" s="267">
        <f>INDEX($AA$93:$AN$106,MATCH($CW103,$L$93:$L$106,0),MATCH(DC$94,$AA$94:$AN$94,0))/INDEX(고양시_재차인원!$K$4:$O$20,MATCH("경기도",고양시_재차인원!$K$4:$K$20,0),MATCH('A.일산테크노밸리(859991)_수정'!DC$94,고양시_재차인원!$K$4:$O$4,0))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3" s="267">
        <f>INDEX($AA$93:$AN$106,MATCH($CW103,$L$93:$L$106,0),MATCH(DD$94,$AA$94:$AN$94,0))/INDEX(고양시_재차인원!$K$4:$O$20,MATCH("경기도",고양시_재차인원!$K$4:$K$20,0),MATCH('A.일산테크노밸리(859991)_수정'!DD$94,고양시_재차인원!$K$4:$O$4,0))</f>
        <v>1.8623950963282299</v>
      </c>
      <c r="DE103" s="267">
        <f>INDEX($AA$93:$AN$106,MATCH($CW103,$L$93:$L$106,0),MATCH(DE$94,$AA$94:$AN$94,0))/INDEX(고양시_재차인원!$K$4:$O$20,MATCH("경기도",고양시_재차인원!$K$4:$K$20,0),MATCH('A.일산테크노밸리(859991)_수정'!DE$94,고양시_재차인원!$K$4:$O$4,0))</f>
        <v>47.455325533256449</v>
      </c>
      <c r="DF103" s="268">
        <f>INDEX($AO$93:$BB$106,MATCH($CW103,$L$93:$L$106,0),MATCH(DF$94,$AO$94:$BB$94,0))/INDEX(고양시_재차인원!$D$4:$H$35,MATCH("고양시",고양시_재차인원!$B$4:$B$35,0),MATCH('A.일산테크노밸리(859991)_수정'!$DF$93,고양시_재차인원!$D$4:$H$4,0))</f>
        <v>49.82444396939875</v>
      </c>
      <c r="DG103" s="267">
        <f>INDEX($AO$93:$BB$106,MATCH($CW103,$L$93:$L$106,0),MATCH(DG$94,$AO$94:$BB$94,0))/INDEX(고양시_재차인원!$K$4:$O$20,MATCH("경기도",고양시_재차인원!$K$4:$K$20,0),MATCH('A.일산테크노밸리(859991)_수정'!DG$94,고양시_재차인원!$K$4:$O$4,0))</f>
        <v>2.149100511579525E-3</v>
      </c>
      <c r="DH103" s="267">
        <f>INDEX($AO$93:$BB$106,MATCH($CW103,$L$93:$L$106,0),MATCH(DH$94,$AO$94:$BB$94,0))/INDEX(고양시_재차인원!$K$4:$O$20,MATCH("경기도",고양시_재차인원!$K$4:$K$20,0),MATCH('A.일산테크노밸리(859991)_수정'!DH$94,고양시_재차인원!$K$4:$O$4,0))</f>
        <v>8.50429773867898E-2</v>
      </c>
      <c r="DI103" s="267">
        <f>INDEX($AO$93:$BB$106,MATCH($CW103,$L$93:$L$106,0),MATCH(DI$94,$AO$94:$BB$94,0))/INDEX(고양시_재차인원!$K$4:$O$20,MATCH("경기도",고양시_재차인원!$K$4:$K$20,0),MATCH('A.일산테크노밸리(859991)_수정'!DI$94,고양시_재차인원!$K$4:$O$4,0))</f>
        <v>1.5026203762605244</v>
      </c>
      <c r="DJ103" s="268">
        <f>INDEX($BC$93:$BP$106,MATCH($CW103,$L$93:$L$106,0),MATCH(DJ$94,$BC$94:$BP$94,0))/INDEX(고양시_재차인원!$D$4:$H$35,MATCH("고양시",고양시_재차인원!$B$4:$B$35,0),MATCH('A.일산테크노밸리(859991)_수정'!$DJ$93,고양시_재차인원!$D$4:$H$4,0))</f>
        <v>8.4578417492990457E-2</v>
      </c>
      <c r="DK103" s="267">
        <f>INDEX($BC$93:$BP$106,MATCH($CW103,$L$93:$L$106,0),MATCH(DK$94,$BC$94:$BP$94,0))/INDEX(고양시_재차인원!$K$4:$O$20,MATCH("경기도",고양시_재차인원!$K$4:$K$20,0),MATCH('A.일산테크노밸리(859991)_수정'!DK$94,고양시_재차인원!$K$4:$O$4,0))</f>
        <v>2.5619375252160372E-4</v>
      </c>
      <c r="DL103" s="267">
        <f>INDEX($BC$93:$BP$106,MATCH($CW103,$L$93:$L$106,0),MATCH(DL$94,$BC$94:$BP$94,0))/INDEX(고양시_재차인원!$K$4:$O$20,MATCH("경기도",고양시_재차인원!$K$4:$K$20,0),MATCH('A.일산테크노밸리(859991)_수정'!DL$94,고양시_재차인원!$K$4:$O$4,0))</f>
        <v>1.7079583501440246E-4</v>
      </c>
      <c r="DM103" s="267">
        <f>INDEX($BC$93:$BP$106,MATCH($CW103,$L$93:$L$106,0),MATCH(DM$94,$BC$94:$BP$94,0))/INDEX(고양시_재차인원!$K$4:$O$20,MATCH("경기도",고양시_재차인원!$K$4:$K$20,0),MATCH('A.일산테크노밸리(859991)_수정'!DM$94,고양시_재차인원!$K$4:$O$4,0))</f>
        <v>7.0378176806951641E-4</v>
      </c>
      <c r="DN103" s="268">
        <f>INDEX($BQ$93:$CD$106,MATCH($CW103,$L$93:$L$106,0),MATCH(DN$94,$BQ$94:$CD$94,0))/INDEX(고양시_재차인원!$D$4:$H$35,MATCH("고양시",고양시_재차인원!$B$4:$B$35,0),MATCH('A.일산테크노밸리(859991)_수정'!$DN$93,고양시_재차인원!$D$4:$H$4,0))</f>
        <v>0.25521153394044094</v>
      </c>
      <c r="DO103" s="267">
        <f>INDEX($BQ$93:$CD$106,MATCH($CW103,$L$93:$L$106,0),MATCH(DO$94,$BQ$94:$CD$94,0))/INDEX(고양시_재차인원!$K$4:$O$20,MATCH("경기도",고양시_재차인원!$K$4:$K$20,0),MATCH('A.일산테크노밸리(859991)_수정'!DO$94,고양시_재차인원!$K$4:$O$4,0))</f>
        <v>1.0188781042949561E-3</v>
      </c>
      <c r="DP103" s="267">
        <f>INDEX($BQ$93:$CD$106,MATCH($CW103,$L$93:$L$106,0),MATCH(DP$94,$BQ$94:$CD$94,0))/INDEX(고양시_재차인원!$K$4:$O$20,MATCH("경기도",고양시_재차인원!$K$4:$K$20,0),MATCH('A.일산테크노밸리(859991)_수정'!DP$94,고양시_재차인원!$K$4:$O$4,0))</f>
        <v>3.4029435075468395E-3</v>
      </c>
      <c r="DQ103" s="267">
        <f>INDEX($BQ$93:$CD$106,MATCH($CW103,$L$93:$L$106,0),MATCH(DQ$94,$BQ$94:$CD$94,0))/INDEX(고양시_재차인원!$K$4:$O$20,MATCH("경기도",고양시_재차인원!$K$4:$K$20,0),MATCH('A.일산테크노밸리(859991)_수정'!DQ$94,고양시_재차인원!$K$4:$O$4,0))</f>
        <v>2.4488312982535776E-4</v>
      </c>
      <c r="DR103" s="269">
        <f t="shared" si="60"/>
        <v>490.0010348564756</v>
      </c>
      <c r="DS103" s="270">
        <f t="shared" si="52"/>
        <v>4.1636443546448814E-3</v>
      </c>
      <c r="DT103" s="270">
        <f t="shared" si="53"/>
        <v>2.1565850252347465</v>
      </c>
      <c r="DU103" s="270">
        <f t="shared" si="54"/>
        <v>53.245160135880909</v>
      </c>
      <c r="DW103" s="278"/>
      <c r="DX103" s="278" t="s">
        <v>481</v>
      </c>
      <c r="DY103" s="281">
        <f>DR105+DU105</f>
        <v>91.696119272507673</v>
      </c>
      <c r="DZ103" s="281">
        <f>DS105+DT105</f>
        <v>0.36471910811518676</v>
      </c>
      <c r="EC103" s="412" t="s">
        <v>15</v>
      </c>
      <c r="ED103" s="412" t="s">
        <v>574</v>
      </c>
      <c r="EE103" s="412">
        <v>10018.5584</v>
      </c>
      <c r="EF103" s="412">
        <v>4.6530094391220855E-2</v>
      </c>
      <c r="EG103" s="413">
        <v>859010</v>
      </c>
      <c r="EH103" s="414">
        <f t="shared" si="55"/>
        <v>349.52002831100742</v>
      </c>
      <c r="EI103" s="415">
        <f t="shared" si="56"/>
        <v>1.3902075028403686</v>
      </c>
      <c r="EJ103" s="402">
        <v>0</v>
      </c>
      <c r="EM103" s="278" t="s">
        <v>15</v>
      </c>
      <c r="EN103" s="278" t="s">
        <v>574</v>
      </c>
      <c r="EO103" s="278">
        <v>10018.5584</v>
      </c>
      <c r="EP103" s="278">
        <v>4.6530094391220855E-2</v>
      </c>
      <c r="EQ103" s="289">
        <v>859010</v>
      </c>
      <c r="ER103" s="290">
        <f t="shared" si="37"/>
        <v>349.52002831100742</v>
      </c>
      <c r="ES103" s="291">
        <f t="shared" si="38"/>
        <v>1.3902075028403686</v>
      </c>
      <c r="ET103" s="402">
        <v>0</v>
      </c>
      <c r="EV103" s="34"/>
      <c r="EW103" s="34"/>
      <c r="EX103" s="34"/>
      <c r="EY103" s="34"/>
      <c r="EZ103" s="378"/>
      <c r="FA103" s="401"/>
      <c r="FB103" s="402"/>
      <c r="FC103" s="402"/>
    </row>
    <row r="104" spans="1:159" ht="16.5" customHeight="1">
      <c r="A104" s="205"/>
      <c r="B104" s="205" t="s">
        <v>24</v>
      </c>
      <c r="C104" s="400">
        <f>'A.일산테크노밸리(859991)_수정'!$P37*KTDB_TripDistribution_2045!T$12 * (1+KTDB_발생량도착량_증가율!$D$8 *5) * (1+KTDB_발생량도착량_증가율!$E$8 *5) * (1+KTDB_발생량도착량_증가율!$F$8 *5) * (1+KTDB_발생량도착량_증가율!$G$8 *5)</f>
        <v>113.96827157093335</v>
      </c>
      <c r="D104" s="400">
        <f>'A.일산테크노밸리(859991)_수정'!$P37*KTDB_TripDistribution_2045!U$12 * (1+KTDB_발생량도착량_증가율!$D$8 *5) * (1+KTDB_발생량도착량_증가율!$E$8 *5) * (1+KTDB_발생량도착량_증가율!$F$8 *5) * (1+KTDB_발생량도착량_증가율!$G$8 *5)</f>
        <v>824.81169718183696</v>
      </c>
      <c r="E104" s="400">
        <f>'A.일산테크노밸리(859991)_수정'!$P37*KTDB_TripDistribution_2045!V$12 * (1+KTDB_발생량도착량_증가율!$D$8 *5) * (1+KTDB_발생량도착량_증가율!$E$8 *5) * (1+KTDB_발생량도착량_증가율!$F$8 *5) * (1+KTDB_발생량도착량_증가율!$G$8 *5)</f>
        <v>47.317405486931605</v>
      </c>
      <c r="F104" s="400">
        <f>'A.일산테크노밸리(859991)_수정'!$P37*KTDB_TripDistribution_2045!W$12 * (1+KTDB_발생량도착량_증가율!$D$8 *5) * (1+KTDB_발생량도착량_증가율!$E$8 *5) * (1+KTDB_발생량도착량_증가율!$F$8 *5) * (1+KTDB_발생량도착량_증가율!$G$8 *5)</f>
        <v>7.4359463834884773E-2</v>
      </c>
      <c r="G104" s="400">
        <f>'A.일산테크노밸리(859991)_수정'!$P37*KTDB_TripDistribution_2045!X$12 * (1+KTDB_발생량도착량_증가율!$D$8 *5) * (1+KTDB_발생량도착량_증가율!$E$8 *5) * (1+KTDB_발생량도착량_증가율!$F$8 *5) * (1+KTDB_발생량도착량_증가율!$G$8 *5)</f>
        <v>0.28091353004289782</v>
      </c>
      <c r="H104" s="400">
        <f>'A.일산테크노밸리(859991)_수정'!$P37*KTDB_TripDistribution_2045!Y$12 * (1+KTDB_발생량도착량_증가율!$D$8 *5) * (1+KTDB_발생량도착량_증가율!$E$8 *5) * (1+KTDB_발생량도착량_증가율!$F$8 *5) * (1+KTDB_발생량도착량_증가율!$G$8 *5)</f>
        <v>986.45264723357957</v>
      </c>
      <c r="J104" s="230">
        <f t="shared" si="57"/>
        <v>986.45264723357968</v>
      </c>
      <c r="K104" s="206"/>
      <c r="L104" s="209" t="s">
        <v>24</v>
      </c>
      <c r="M104" s="213">
        <f>INDEX($A$94:$H$106,MATCH($L104,$B$94:$B$106,0),MATCH($M$93,$A$94:$H$94,0))*고양시_Modal_split!C$3 * 0.01</f>
        <v>0.31911116039861337</v>
      </c>
      <c r="N104" s="213">
        <f>INDEX($A$94:$H$106,MATCH($L104,$B$94:$B$106,0),MATCH($M$93,$A$94:$H$94,0))*고양시_Modal_split!D$3 * 0.01</f>
        <v>53.599278119809959</v>
      </c>
      <c r="O104" s="213">
        <f>INDEX($A$94:$H$106,MATCH($L104,$B$94:$B$106,0),MATCH($M$93,$A$94:$H$94,0))*고양시_Modal_split!E$3 * 0.01</f>
        <v>6.4847946523861069</v>
      </c>
      <c r="P104" s="213">
        <f>INDEX($A$94:$H$106,MATCH($L104,$B$94:$B$106,0),MATCH($M$93,$A$94:$H$94,0))*고양시_Modal_split!F$3 * 0.01</f>
        <v>10.450890503054589</v>
      </c>
      <c r="Q104" s="213">
        <f>INDEX($A$94:$H$106,MATCH($L104,$B$94:$B$106,0),MATCH($M$93,$A$94:$H$94,0))*고양시_Modal_split!G$3 * 0.01</f>
        <v>1.0485080984525867</v>
      </c>
      <c r="R104" s="213">
        <f>INDEX($A$94:$H$106,MATCH($L104,$B$94:$B$106,0),MATCH($M$93,$A$94:$H$94,0))*고양시_Modal_split!H$3 * 0.01</f>
        <v>1.1396827157093337E-2</v>
      </c>
      <c r="S104" s="213">
        <f>INDEX($A$94:$H$106,MATCH($L104,$B$94:$B$106,0),MATCH($M$93,$A$94:$H$94,0))*고양시_Modal_split!I$3 * 0.01</f>
        <v>3.1683179496719469</v>
      </c>
      <c r="T104" s="213">
        <f>INDEX($A$94:$H$106,MATCH($L104,$B$94:$B$106,0),MATCH($M$93,$A$94:$H$94,0))*고양시_Modal_split!J$3 * 0.01</f>
        <v>34.691941866192117</v>
      </c>
      <c r="U104" s="213">
        <f>INDEX($A$94:$H$106,MATCH($L104,$B$94:$B$106,0),MATCH($M$93,$A$94:$H$94,0))*고양시_Modal_split!K$3 * 0.01</f>
        <v>0.17095240735640002</v>
      </c>
      <c r="V104" s="213">
        <f>INDEX($A$94:$H$106,MATCH($L104,$B$94:$B$106,0),MATCH($M$93,$A$94:$H$94,0))*고양시_Modal_split!L$3 * 0.01</f>
        <v>3.4418418014421874</v>
      </c>
      <c r="W104" s="213">
        <f>INDEX($A$94:$H$106,MATCH($L104,$B$94:$B$106,0),MATCH($M$93,$A$94:$H$94,0))*고양시_Modal_split!M$3 * 0.01</f>
        <v>0.26212702461314669</v>
      </c>
      <c r="X104" s="213">
        <f>INDEX($A$94:$H$106,MATCH($L104,$B$94:$B$106,0),MATCH($M$93,$A$94:$H$94,0))*고양시_Modal_split!N$3 * 0.01</f>
        <v>0.11396827157093337</v>
      </c>
      <c r="Y104" s="213">
        <f>INDEX($A$94:$H$106,MATCH($L104,$B$94:$B$106,0),MATCH($M$93,$A$94:$H$94,0))*고양시_Modal_split!O$3 * 0.01</f>
        <v>0.20514288882768003</v>
      </c>
      <c r="Z104" s="213">
        <f>INDEX($A$94:$H$106,MATCH($L104,$B$94:$B$106,0),MATCH($M$93,$A$94:$H$94,0))*고양시_Modal_split!P$3 * 0.01</f>
        <v>113.96827157093335</v>
      </c>
      <c r="AA104" s="213">
        <f>INDEX($A$94:$H$106,MATCH($L104,$B$94:$B$106,0),MATCH($AA$93,$A$94:$H$94,0))*고양시_Modal_split!C$4 * 0.01</f>
        <v>251.07268062215118</v>
      </c>
      <c r="AB104" s="213">
        <f>INDEX($A$94:$H$106,MATCH($L104,$B$94:$B$106,0),MATCH($AA$93,$A$94:$H$94,0))*고양시_Modal_split!D$4 * 0.01</f>
        <v>264.51711128621514</v>
      </c>
      <c r="AC104" s="213">
        <f>INDEX($A$94:$H$106,MATCH($L104,$B$94:$B$106,0),MATCH($AA$93,$A$94:$H$94,0))*고양시_Modal_split!E$4 * 0.01</f>
        <v>64.087868871028732</v>
      </c>
      <c r="AD104" s="213">
        <f>INDEX($A$94:$H$106,MATCH($L104,$B$94:$B$106,0),MATCH($AA$93,$A$94:$H$94,0))*고양시_Modal_split!F$4 * 0.01</f>
        <v>7.8357111232274512</v>
      </c>
      <c r="AE104" s="213">
        <f>INDEX($A$94:$H$106,MATCH($L104,$B$94:$B$106,0),MATCH($AA$93,$A$94:$H$94,0))*고양시_Modal_split!G$4 * 0.01</f>
        <v>96.585449739993109</v>
      </c>
      <c r="AF104" s="213">
        <f>INDEX($A$94:$H$106,MATCH($L104,$B$94:$B$106,0),MATCH($AA$93,$A$94:$H$94,0))*고양시_Modal_split!H$4 * 0.01</f>
        <v>0</v>
      </c>
      <c r="AG104" s="213">
        <f>INDEX($A$94:$H$106,MATCH($L104,$B$94:$B$106,0),MATCH($AA$93,$A$94:$H$94,0))*고양시_Modal_split!I$4 * 0.01</f>
        <v>28.703447061927925</v>
      </c>
      <c r="AH104" s="213">
        <f>INDEX($A$94:$H$106,MATCH($L104,$B$94:$B$106,0),MATCH($AA$93,$A$94:$H$94,0))*고양시_Modal_split!J$4 * 0.01</f>
        <v>38.848630937264524</v>
      </c>
      <c r="AI104" s="213">
        <f>INDEX($A$94:$H$106,MATCH($L104,$B$94:$B$106,0),MATCH($AA$93,$A$94:$H$94,0))*고양시_Modal_split!K$4 * 0.01</f>
        <v>0</v>
      </c>
      <c r="AJ104" s="213">
        <f>INDEX($A$94:$H$106,MATCH($L104,$B$94:$B$106,0),MATCH($AA$93,$A$94:$H$94,0))*고양시_Modal_split!L$4 * 0.01</f>
        <v>38.106300409800873</v>
      </c>
      <c r="AK104" s="213">
        <f>INDEX($A$94:$H$106,MATCH($L104,$B$94:$B$106,0),MATCH($AA$93,$A$94:$H$94,0))*고양시_Modal_split!M$4 * 0.01</f>
        <v>5.5262383711183078</v>
      </c>
      <c r="AL104" s="213">
        <f>INDEX($A$94:$H$106,MATCH($L104,$B$94:$B$106,0),MATCH($AA$93,$A$94:$H$94,0))*고양시_Modal_split!N$4 * 0.01</f>
        <v>20.620292429545927</v>
      </c>
      <c r="AM104" s="213">
        <f>INDEX($A$94:$H$106,MATCH($L104,$B$94:$B$106,0),MATCH($AA$93,$A$94:$H$94,0))*고양시_Modal_split!O$4 * 0.01</f>
        <v>8.9079663295638394</v>
      </c>
      <c r="AN104" s="213">
        <f>INDEX($A$94:$H$106,MATCH($L104,$B$94:$B$106,0),MATCH($AA$93,$A$94:$H$94,0))*고양시_Modal_split!P$4 * 0.01</f>
        <v>824.81169718183696</v>
      </c>
      <c r="AO104" s="213">
        <f>INDEX($A$94:$H$106,MATCH($L104,$B$94:$B$106,0),MATCH($AO$93,$A$94:$H$94,0))*고양시_Modal_split!C$5 * 0.01</f>
        <v>2.8390443292158962E-2</v>
      </c>
      <c r="AP104" s="213">
        <f>INDEX($A$94:$H$106,MATCH($L104,$B$94:$B$106,0),MATCH($AO$93,$A$94:$H$94,0))*고양시_Modal_split!D$5 * 0.01</f>
        <v>34.674194740823481</v>
      </c>
      <c r="AQ104" s="213">
        <f>INDEX($A$94:$H$106,MATCH($L104,$B$94:$B$106,0),MATCH($AO$93,$A$94:$H$94,0))*고양시_Modal_split!E$5 * 0.01</f>
        <v>4.6607644404627635</v>
      </c>
      <c r="AR104" s="213">
        <f>INDEX($A$94:$H$106,MATCH($L104,$B$94:$B$106,0),MATCH($AO$93,$A$94:$H$94,0))*고양시_Modal_split!F$5 * 0.01</f>
        <v>0.99366551522556379</v>
      </c>
      <c r="AS104" s="213">
        <f>INDEX($A$94:$H$106,MATCH($L104,$B$94:$B$106,0),MATCH($AO$93,$A$94:$H$94,0))*고양시_Modal_split!G$5 * 0.01</f>
        <v>0.30756313566505544</v>
      </c>
      <c r="AT104" s="213">
        <f>INDEX($A$94:$H$106,MATCH($L104,$B$94:$B$106,0),MATCH($AO$93,$A$94:$H$94,0))*고양시_Modal_split!H$5 * 0.01</f>
        <v>3.3122183840852124E-2</v>
      </c>
      <c r="AU104" s="213">
        <f>INDEX($A$94:$H$106,MATCH($L104,$B$94:$B$106,0),MATCH($AO$93,$A$94:$H$94,0))*고양시_Modal_split!I$5 * 0.01</f>
        <v>1.3106921319880056</v>
      </c>
      <c r="AV104" s="213">
        <f>INDEX($A$94:$H$106,MATCH($L104,$B$94:$B$106,0),MATCH($AO$93,$A$94:$H$94,0))*고양시_Modal_split!J$5 * 0.01</f>
        <v>2.9668013240306119</v>
      </c>
      <c r="AW104" s="213">
        <f>INDEX($A$94:$H$106,MATCH($L104,$B$94:$B$106,0),MATCH($AO$93,$A$94:$H$94,0))*고양시_Modal_split!K$5 * 0.01</f>
        <v>9.4634810973863222E-3</v>
      </c>
      <c r="AX104" s="213">
        <f>INDEX($A$94:$H$106,MATCH($L104,$B$94:$B$106,0),MATCH($AO$93,$A$94:$H$94,0))*고양시_Modal_split!L$5 * 0.01</f>
        <v>1.206593839916756</v>
      </c>
      <c r="AY104" s="213">
        <f>INDEX($A$94:$H$106,MATCH($L104,$B$94:$B$106,0),MATCH($AO$93,$A$94:$H$94,0))*고양시_Modal_split!M$5 * 0.01</f>
        <v>0.31702661676244176</v>
      </c>
      <c r="AZ104" s="213">
        <f>INDEX($A$94:$H$106,MATCH($L104,$B$94:$B$106,0),MATCH($AO$93,$A$94:$H$94,0))*고양시_Modal_split!N$5 * 0.01</f>
        <v>8.0439589327783723E-2</v>
      </c>
      <c r="BA104" s="213">
        <f>INDEX($A$94:$H$106,MATCH($L104,$B$94:$B$106,0),MATCH($AO$93,$A$94:$H$94,0))*고양시_Modal_split!O$5 * 0.01</f>
        <v>0.7286880444987468</v>
      </c>
      <c r="BB104" s="213">
        <f>INDEX($A$94:$H$106,MATCH($L104,$B$94:$B$106,0),MATCH($AO$93,$A$94:$H$94,0))*고양시_Modal_split!P$5 * 0.01</f>
        <v>47.317405486931605</v>
      </c>
      <c r="BC104" s="213">
        <f>INDEX($A$94:$H$106,MATCH($L104,$B$94:$B$106,0),MATCH($BC$93,$A$94:$H$94,0))*고양시_Modal_split!C$6 * 0.01</f>
        <v>0</v>
      </c>
      <c r="BD104" s="207">
        <f>INDEX($A$94:$H$106,MATCH($L104,$B$94:$B$106,0),MATCH($BC$93,$A$94:$H$94,0))*고양시_Modal_split!D$6 * 0.01</f>
        <v>6.1577072001668072E-2</v>
      </c>
      <c r="BE104" s="207">
        <f>INDEX($A$94:$H$106,MATCH($L104,$B$94:$B$106,0),MATCH($BC$93,$A$94:$H$94,0))*고양시_Modal_split!E$6 * 0.01</f>
        <v>3.1974569449000448E-4</v>
      </c>
      <c r="BF104" s="207">
        <f>INDEX($A$94:$H$106,MATCH($L104,$B$94:$B$106,0),MATCH($BC$93,$A$94:$H$94,0))*고양시_Modal_split!F$6 * 0.01</f>
        <v>9.0718545878559417E-4</v>
      </c>
      <c r="BG104" s="207">
        <f>INDEX($A$94:$H$106,MATCH($L104,$B$94:$B$106,0),MATCH($BC$93,$A$94:$H$94,0))*고양시_Modal_split!G$6 * 0.01</f>
        <v>0</v>
      </c>
      <c r="BH104" s="207">
        <f>INDEX($A$94:$H$106,MATCH($L104,$B$94:$B$106,0),MATCH($BC$93,$A$94:$H$94,0))*고양시_Modal_split!H$6 * 0.01</f>
        <v>3.9484875296323819E-3</v>
      </c>
      <c r="BI104" s="207">
        <f>INDEX($A$94:$H$106,MATCH($L104,$B$94:$B$106,0),MATCH($BC$93,$A$94:$H$94,0))*고양시_Modal_split!I$6 * 0.01</f>
        <v>2.6323250197549208E-3</v>
      </c>
      <c r="BJ104" s="207">
        <f>INDEX($A$94:$H$106,MATCH($L104,$B$94:$B$106,0),MATCH($BC$93,$A$94:$H$94,0))*고양시_Modal_split!J$6 * 0.01</f>
        <v>3.6733575134433073E-3</v>
      </c>
      <c r="BK104" s="207">
        <f>INDEX($A$94:$H$106,MATCH($L104,$B$94:$B$106,0),MATCH($BC$93,$A$94:$H$94,0))*고양시_Modal_split!K$6 * 0.01</f>
        <v>0</v>
      </c>
      <c r="BL104" s="207">
        <f>INDEX($A$94:$H$106,MATCH($L104,$B$94:$B$106,0),MATCH($BC$93,$A$94:$H$94,0))*고양시_Modal_split!L$6 * 0.01</f>
        <v>5.6513192514512432E-4</v>
      </c>
      <c r="BM104" s="207">
        <f>INDEX($A$94:$H$106,MATCH($L104,$B$94:$B$106,0),MATCH($BC$93,$A$94:$H$94,0))*고양시_Modal_split!M$6 * 0.01</f>
        <v>6.7667112089745145E-4</v>
      </c>
      <c r="BN104" s="207">
        <f>INDEX($A$94:$H$106,MATCH($L104,$B$94:$B$106,0),MATCH($BC$93,$A$94:$H$94,0))*고양시_Modal_split!N$6 * 0.01</f>
        <v>0</v>
      </c>
      <c r="BO104" s="207">
        <f>INDEX($A$94:$H$106,MATCH($L104,$B$94:$B$106,0),MATCH($BC$93,$A$94:$H$94,0))*고양시_Modal_split!O$6 * 0.01</f>
        <v>5.9487571067907821E-5</v>
      </c>
      <c r="BP104" s="214">
        <f>INDEX($A$94:$H$106,MATCH($L104,$B$94:$B$106,0),MATCH($BC$93,$A$94:$H$94,0))*고양시_Modal_split!P$6 * 0.01</f>
        <v>7.4359463834884773E-2</v>
      </c>
      <c r="BQ104" s="213">
        <f>INDEX($A$94:$H$106,MATCH($L104,$B$94:$B$106,0),MATCH($BQ$93,$A$94:$H$94,0))*고양시_Modal_split!C$7 * 0.01</f>
        <v>0</v>
      </c>
      <c r="BR104" s="213">
        <f>INDEX($A$94:$H$106,MATCH($L104,$B$94:$B$106,0),MATCH($BQ$93,$A$94:$H$94,0))*고양시_Modal_split!D$7 * 0.01</f>
        <v>0.17214381121028779</v>
      </c>
      <c r="BS104" s="213">
        <f>INDEX($A$94:$H$106,MATCH($L104,$B$94:$B$106,0),MATCH($BQ$93,$A$94:$H$94,0))*고양시_Modal_split!E$7 * 0.01</f>
        <v>8.3993145482826447E-3</v>
      </c>
      <c r="BT104" s="213">
        <f>INDEX($A$94:$H$106,MATCH($L104,$B$94:$B$106,0),MATCH($BQ$93,$A$94:$H$94,0))*고양시_Modal_split!F$7 * 0.01</f>
        <v>2.8091353004289781E-3</v>
      </c>
      <c r="BU104" s="213">
        <f>INDEX($A$94:$H$106,MATCH($L104,$B$94:$B$106,0),MATCH($BQ$93,$A$94:$H$94,0))*고양시_Modal_split!G$7 * 0.01</f>
        <v>1.1798368261801708E-3</v>
      </c>
      <c r="BV104" s="213">
        <f>INDEX($A$94:$H$106,MATCH($L104,$B$94:$B$106,0),MATCH($BQ$93,$A$94:$H$94,0))*고양시_Modal_split!H$7 * 0.01</f>
        <v>1.570306632939799E-2</v>
      </c>
      <c r="BW104" s="213">
        <f>INDEX($A$94:$H$106,MATCH($L104,$B$94:$B$106,0),MATCH($BQ$93,$A$94:$H$94,0))*고양시_Modal_split!I$7 * 0.01</f>
        <v>5.2446556059009025E-2</v>
      </c>
      <c r="BX104" s="213">
        <f>INDEX($A$94:$H$106,MATCH($L104,$B$94:$B$106,0),MATCH($BQ$93,$A$94:$H$94,0))*고양시_Modal_split!J$7 * 0.01</f>
        <v>5.6182706008579559E-5</v>
      </c>
      <c r="BY104" s="213">
        <f>INDEX($A$94:$H$106,MATCH($L104,$B$94:$B$106,0),MATCH($BQ$93,$A$94:$H$94,0))*고양시_Modal_split!K$7 * 0.01</f>
        <v>2.1630341813303131E-2</v>
      </c>
      <c r="BZ104" s="213">
        <f>INDEX($A$94:$H$106,MATCH($L104,$B$94:$B$106,0),MATCH($BQ$93,$A$94:$H$94,0))*고양시_Modal_split!L$7 * 0.01</f>
        <v>1.9663947103002848E-4</v>
      </c>
      <c r="CA104" s="213">
        <f>INDEX($A$94:$H$106,MATCH($L104,$B$94:$B$106,0),MATCH($BQ$93,$A$94:$H$94,0))*고양시_Modal_split!M$7 * 0.01</f>
        <v>5.2530830118021898E-3</v>
      </c>
      <c r="CB104" s="213">
        <f>INDEX($A$94:$H$106,MATCH($L104,$B$94:$B$106,0),MATCH($BQ$93,$A$94:$H$94,0))*고양시_Modal_split!N$7 * 0.01</f>
        <v>1.0955627671673015E-3</v>
      </c>
      <c r="CC104" s="213">
        <f>INDEX($A$94:$H$106,MATCH($L104,$B$94:$B$106,0),MATCH($BQ$93,$A$94:$H$94,0))*고양시_Modal_split!O$7 * 0.01</f>
        <v>0</v>
      </c>
      <c r="CD104" s="213">
        <f>INDEX($A$94:$H$106,MATCH($L104,$B$94:$B$106,0),MATCH($BQ$93,$A$94:$H$94,0))*고양시_Modal_split!P$7 * 0.01</f>
        <v>0.28091353004289782</v>
      </c>
      <c r="CE104" s="218">
        <f t="shared" si="58"/>
        <v>251.42018222584196</v>
      </c>
      <c r="CF104" s="208">
        <f t="shared" si="39"/>
        <v>353.02430503006053</v>
      </c>
      <c r="CG104" s="208">
        <f t="shared" si="40"/>
        <v>75.242147024120371</v>
      </c>
      <c r="CH104" s="208">
        <f t="shared" si="41"/>
        <v>19.283983462266821</v>
      </c>
      <c r="CI104" s="208">
        <f t="shared" si="42"/>
        <v>97.942700810936927</v>
      </c>
      <c r="CJ104" s="208">
        <f t="shared" si="43"/>
        <v>6.4170564856975837E-2</v>
      </c>
      <c r="CK104" s="208">
        <f t="shared" si="44"/>
        <v>33.237536024666639</v>
      </c>
      <c r="CL104" s="208">
        <f t="shared" si="45"/>
        <v>76.511103667706706</v>
      </c>
      <c r="CM104" s="208">
        <f t="shared" si="46"/>
        <v>0.20204623026708945</v>
      </c>
      <c r="CN104" s="208">
        <f t="shared" si="47"/>
        <v>42.755497822555988</v>
      </c>
      <c r="CO104" s="208">
        <f t="shared" si="48"/>
        <v>6.1113217666265962</v>
      </c>
      <c r="CP104" s="208">
        <f t="shared" si="49"/>
        <v>20.81579585321181</v>
      </c>
      <c r="CQ104" s="208">
        <f t="shared" si="50"/>
        <v>9.8418567504613339</v>
      </c>
      <c r="CR104" s="219">
        <f t="shared" si="51"/>
        <v>986.45264723357968</v>
      </c>
      <c r="CS104" s="225">
        <f t="shared" si="59"/>
        <v>0</v>
      </c>
      <c r="CV104" s="265"/>
      <c r="CW104" s="266" t="s">
        <v>24</v>
      </c>
      <c r="CX104" s="267">
        <f>INDEX($M$93:$Z$106,MATCH($CW104,$L$93:$L$106,0),MATCH(CX$94,$M$94:$Z$94,0))/INDEX(고양시_재차인원!$D$4:$H$35,MATCH("고양시",고양시_재차인원!$B$4:$B$35,0),MATCH('A.일산테크노밸리(859991)_수정'!$CX$93,고양시_재차인원!$D$4:$H$4,0))</f>
        <v>47.85649832125889</v>
      </c>
      <c r="CY104" s="267">
        <f>INDEX($M$93:$Z$106,MATCH($CW104,$L$93:$L$106,0),MATCH(CY$94,$M$94:$Z$94,0))/INDEX(고양시_재차인원!$K$4:$O$20,MATCH("경기도",고양시_재차인원!$K$4:$K$20,0),MATCH('A.일산테크노밸리(859991)_수정'!CY$94,고양시_재차인원!$K$4:$O$4,0))</f>
        <v>3.9586061677990053E-4</v>
      </c>
      <c r="CZ104" s="267">
        <f>INDEX($M$93:$Z$106,MATCH($CW104,$L$93:$L$106,0),MATCH(CZ$94,$M$94:$Z$94,0))/INDEX(고양시_재차인원!$K$4:$O$20,MATCH("경기도",고양시_재차인원!$K$4:$K$20,0),MATCH('A.일산테크노밸리(859991)_수정'!CZ$94,고양시_재차인원!$K$4:$O$4,0))</f>
        <v>0.11004925146481233</v>
      </c>
      <c r="DA104" s="267">
        <f>INDEX($M$93:$Z$106,MATCH($CW104,$L$93:$L$106,0),MATCH(DA$94,$M$94:$Z$94,0))/INDEX(고양시_재차인원!$K$4:$O$20,MATCH("경기도",고양시_재차인원!$K$4:$K$20,0),MATCH('A.일산테크노밸리(859991)_수정'!DA$94,고양시_재차인원!$K$4:$O$4,0))</f>
        <v>2.2945612009614584</v>
      </c>
      <c r="DB104" s="268">
        <f>INDEX($AA$93:$AN$106,MATCH($CW104,$L$93:$L$106,0),MATCH(DB$94,$AA$94:$AN$94,0))/INDEX(고양시_재차인원!$D$4:$H$35,MATCH("고양시",고양시_재차인원!$B$4:$B$35,0),MATCH('A.일산테크노밸리(859991)_수정'!$DB$93,고양시_재차인원!$D$4:$H$4,0))</f>
        <v>187.60078814625189</v>
      </c>
      <c r="DC104" s="267">
        <f>INDEX($AA$93:$AN$106,MATCH($CW104,$L$93:$L$106,0),MATCH(DC$94,$AA$94:$AN$94,0))/INDEX(고양시_재차인원!$K$4:$O$20,MATCH("경기도",고양시_재차인원!$K$4:$K$20,0),MATCH('A.일산테크노밸리(859991)_수정'!DC$94,고양시_재차인원!$K$4:$O$4,0))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4" s="267">
        <f>INDEX($AA$93:$AN$106,MATCH($CW104,$L$93:$L$106,0),MATCH(DD$94,$AA$94:$AN$94,0))/INDEX(고양시_재차인원!$K$4:$O$20,MATCH("경기도",고양시_재차인원!$K$4:$K$20,0),MATCH('A.일산테크노밸리(859991)_수정'!DD$94,고양시_재차인원!$K$4:$O$4,0))</f>
        <v>0.99699364577728122</v>
      </c>
      <c r="DE104" s="267">
        <f>INDEX($AA$93:$AN$106,MATCH($CW104,$L$93:$L$106,0),MATCH(DE$94,$AA$94:$AN$94,0))/INDEX(고양시_재차인원!$K$4:$O$20,MATCH("경기도",고양시_재차인원!$K$4:$K$20,0),MATCH('A.일산테크노밸리(859991)_수정'!DE$94,고양시_재차인원!$K$4:$O$4,0))</f>
        <v>25.404200273200583</v>
      </c>
      <c r="DF104" s="268">
        <f>INDEX($AO$93:$BB$106,MATCH($CW104,$L$93:$L$106,0),MATCH(DF$94,$AO$94:$BB$94,0))/INDEX(고양시_재차인원!$D$4:$H$35,MATCH("고양시",고양시_재차인원!$B$4:$B$35,0),MATCH('A.일산테크노밸리(859991)_수정'!$DF$93,고양시_재차인원!$D$4:$H$4,0))</f>
        <v>26.672457492941138</v>
      </c>
      <c r="DG104" s="267">
        <f>INDEX($AO$93:$BB$106,MATCH($CW104,$L$93:$L$106,0),MATCH(DG$94,$AO$94:$BB$94,0))/INDEX(고양시_재차인원!$K$4:$O$20,MATCH("경기도",고양시_재차인원!$K$4:$K$20,0),MATCH('A.일산테크노밸리(859991)_수정'!DG$94,고양시_재차인원!$K$4:$O$4,0))</f>
        <v>1.1504752983970867E-3</v>
      </c>
      <c r="DH104" s="267">
        <f>INDEX($AO$93:$BB$106,MATCH($CW104,$L$93:$L$106,0),MATCH(DH$94,$AO$94:$BB$94,0))/INDEX(고양시_재차인원!$K$4:$O$20,MATCH("경기도",고양시_재차인원!$K$4:$K$20,0),MATCH('A.일산테크노밸리(859991)_수정'!DH$94,고양시_재차인원!$K$4:$O$4,0))</f>
        <v>4.5525951093713289E-2</v>
      </c>
      <c r="DI104" s="267">
        <f>INDEX($AO$93:$BB$106,MATCH($CW104,$L$93:$L$106,0),MATCH(DI$94,$AO$94:$BB$94,0))/INDEX(고양시_재차인원!$K$4:$O$20,MATCH("경기도",고양시_재차인원!$K$4:$K$20,0),MATCH('A.일산테크노밸리(859991)_수정'!DI$94,고양시_재차인원!$K$4:$O$4,0))</f>
        <v>0.80439589327783734</v>
      </c>
      <c r="DJ104" s="268">
        <f>INDEX($BC$93:$BP$106,MATCH($CW104,$L$93:$L$106,0),MATCH(DJ$94,$BC$94:$BP$94,0))/INDEX(고양시_재차인원!$D$4:$H$35,MATCH("고양시",고양시_재차인원!$B$4:$B$35,0),MATCH('A.일산테크노밸리(859991)_수정'!$DJ$93,고양시_재차인원!$D$4:$H$4,0))</f>
        <v>4.5277258824755931E-2</v>
      </c>
      <c r="DK104" s="267">
        <f>INDEX($BC$93:$BP$106,MATCH($CW104,$L$93:$L$106,0),MATCH(DK$94,$BC$94:$BP$94,0))/INDEX(고양시_재차인원!$K$4:$O$20,MATCH("경기도",고양시_재차인원!$K$4:$K$20,0),MATCH('A.일산테크노밸리(859991)_수정'!DK$94,고양시_재차인원!$K$4:$O$4,0))</f>
        <v>1.3714788223801258E-4</v>
      </c>
      <c r="DL104" s="267">
        <f>INDEX($BC$93:$BP$106,MATCH($CW104,$L$93:$L$106,0),MATCH(DL$94,$BC$94:$BP$94,0))/INDEX(고양시_재차인원!$K$4:$O$20,MATCH("경기도",고양시_재차인원!$K$4:$K$20,0),MATCH('A.일산테크노밸리(859991)_수정'!DL$94,고양시_재차인원!$K$4:$O$4,0))</f>
        <v>9.1431921492008363E-5</v>
      </c>
      <c r="DM104" s="267">
        <f>INDEX($BC$93:$BP$106,MATCH($CW104,$L$93:$L$106,0),MATCH(DM$94,$BC$94:$BP$94,0))/INDEX(고양시_재차인원!$K$4:$O$20,MATCH("경기도",고양시_재차인원!$K$4:$K$20,0),MATCH('A.일산테크노밸리(859991)_수정'!DM$94,고양시_재차인원!$K$4:$O$4,0))</f>
        <v>3.767546167634162E-4</v>
      </c>
      <c r="DN104" s="268">
        <f>INDEX($BQ$93:$CD$106,MATCH($CW104,$L$93:$L$106,0),MATCH(DN$94,$BQ$94:$CD$94,0))/INDEX(고양시_재차인원!$D$4:$H$35,MATCH("고양시",고양시_재차인원!$B$4:$B$35,0),MATCH('A.일산테크노밸리(859991)_수정'!$DN$93,고양시_재차인원!$D$4:$H$4,0))</f>
        <v>0.13662207238911731</v>
      </c>
      <c r="DO104" s="267">
        <f>INDEX($BQ$93:$CD$106,MATCH($CW104,$L$93:$L$106,0),MATCH(DO$94,$BQ$94:$CD$94,0))/INDEX(고양시_재차인원!$K$4:$O$20,MATCH("경기도",고양시_재차인원!$K$4:$K$20,0),MATCH('A.일산테크노밸리(859991)_수정'!DO$94,고양시_재차인원!$K$4:$O$4,0))</f>
        <v>5.4543474572414001E-4</v>
      </c>
      <c r="DP104" s="267">
        <f>INDEX($BQ$93:$CD$106,MATCH($CW104,$L$93:$L$106,0),MATCH(DP$94,$BQ$94:$CD$94,0))/INDEX(고양시_재차인원!$K$4:$O$20,MATCH("경기도",고양시_재차인원!$K$4:$K$20,0),MATCH('A.일산테크노밸리(859991)_수정'!DP$94,고양시_재차인원!$K$4:$O$4,0))</f>
        <v>1.8216935067387643E-3</v>
      </c>
      <c r="DQ104" s="267">
        <f>INDEX($BQ$93:$CD$106,MATCH($CW104,$L$93:$L$106,0),MATCH(DQ$94,$BQ$94:$CD$94,0))/INDEX(고양시_재차인원!$K$4:$O$20,MATCH("경기도",고양시_재차인원!$K$4:$K$20,0),MATCH('A.일산테크노밸리(859991)_수정'!DQ$94,고양시_재차인원!$K$4:$O$4,0))</f>
        <v>1.3109298068668567E-4</v>
      </c>
      <c r="DR104" s="269">
        <f t="shared" si="60"/>
        <v>262.3116432916658</v>
      </c>
      <c r="DS104" s="270">
        <f t="shared" si="52"/>
        <v>2.2289185431391399E-3</v>
      </c>
      <c r="DT104" s="270">
        <f t="shared" si="53"/>
        <v>1.1544819737640377</v>
      </c>
      <c r="DU104" s="270">
        <f t="shared" si="54"/>
        <v>28.50366521503733</v>
      </c>
      <c r="DW104" s="278"/>
      <c r="DX104" s="278"/>
      <c r="DY104" s="281">
        <f>DR106+DU106</f>
        <v>10942.758977834261</v>
      </c>
      <c r="DZ104" s="281">
        <f>DS106+DT106</f>
        <v>43.524560541699572</v>
      </c>
      <c r="EC104" s="412" t="s">
        <v>15</v>
      </c>
      <c r="ED104" s="412" t="s">
        <v>84</v>
      </c>
      <c r="EE104" s="412">
        <v>5030.8546999999999</v>
      </c>
      <c r="EF104" s="412">
        <v>2.3365252236241602E-2</v>
      </c>
      <c r="EG104" s="413">
        <v>859011</v>
      </c>
      <c r="EH104" s="414">
        <f t="shared" si="55"/>
        <v>175.51272418320832</v>
      </c>
      <c r="EI104" s="415">
        <f t="shared" si="56"/>
        <v>0.69809763744449815</v>
      </c>
      <c r="EJ104" s="402">
        <v>0</v>
      </c>
      <c r="EM104" s="278" t="s">
        <v>15</v>
      </c>
      <c r="EN104" s="278" t="s">
        <v>84</v>
      </c>
      <c r="EO104" s="278">
        <v>5030.8546999999999</v>
      </c>
      <c r="EP104" s="278">
        <v>2.3365252236241602E-2</v>
      </c>
      <c r="EQ104" s="289">
        <v>859011</v>
      </c>
      <c r="ER104" s="290">
        <f t="shared" si="37"/>
        <v>175.51272418320832</v>
      </c>
      <c r="ES104" s="291">
        <f t="shared" si="38"/>
        <v>0.69809763744449815</v>
      </c>
      <c r="ET104" s="402">
        <v>0</v>
      </c>
      <c r="EV104" s="34"/>
      <c r="EW104" s="34"/>
      <c r="EX104" s="34"/>
      <c r="EY104" s="34"/>
      <c r="EZ104" s="378"/>
      <c r="FA104" s="401"/>
      <c r="FB104" s="402"/>
      <c r="FC104" s="402"/>
    </row>
    <row r="105" spans="1:159" ht="16.5" customHeight="1">
      <c r="A105" s="205"/>
      <c r="B105" s="205" t="s">
        <v>481</v>
      </c>
      <c r="C105" s="400">
        <f>'A.일산테크노밸리(859991)_수정'!$P38*KTDB_TripDistribution_2045!T$12 * (1+KTDB_발생량도착량_증가율!$D$8 *5) * (1+KTDB_발생량도착량_증가율!$E$8 *5) * (1+KTDB_발생량도착량_증가율!$F$8 *5) * (1+KTDB_발생량도착량_증가율!$G$8 *5)</f>
        <v>35.935000385335542</v>
      </c>
      <c r="D105" s="400">
        <f>'A.일산테크노밸리(859991)_수정'!$P38*KTDB_TripDistribution_2045!U$12 * (1+KTDB_발생량도착량_증가율!$D$8 *5) * (1+KTDB_발생량도착량_증가율!$E$8 *5) * (1+KTDB_발생량도착량_증가율!$F$8 *5) * (1+KTDB_발생량도착량_증가율!$G$8 *5)</f>
        <v>260.06894943221988</v>
      </c>
      <c r="E105" s="400">
        <f>'A.일산테크노밸리(859991)_수정'!$P38*KTDB_TripDistribution_2045!V$12 * (1+KTDB_발생량도착량_증가율!$D$8 *5) * (1+KTDB_발생량도착량_증가율!$E$8 *5) * (1+KTDB_발생량도착량_증가율!$F$8 *5) * (1+KTDB_발생량도착량_증가율!$G$8 *5)</f>
        <v>14.919511904220414</v>
      </c>
      <c r="F105" s="400">
        <f>'A.일산테크노밸리(859991)_수정'!$P38*KTDB_TripDistribution_2045!W$12 * (1+KTDB_발생량도착량_증가율!$D$8 *5) * (1+KTDB_발생량도착량_증가율!$E$8 *5) * (1+KTDB_발생량도착량_증가율!$F$8 *5) * (1+KTDB_발생량도착량_증가율!$G$8 *5)</f>
        <v>2.3446063757287229E-2</v>
      </c>
      <c r="G105" s="400">
        <f>'A.일산테크노밸리(859991)_수정'!$P38*KTDB_TripDistribution_2045!X$12 * (1+KTDB_발생량도착량_증가율!$D$8 *5) * (1+KTDB_발생량도착량_증가율!$E$8 *5) * (1+KTDB_발생량도착량_증가율!$F$8 *5) * (1+KTDB_발생량도착량_증가율!$G$8 *5)</f>
        <v>8.8574018638640575E-2</v>
      </c>
      <c r="H105" s="400">
        <f>'A.일산테크노밸리(859991)_수정'!$P38*KTDB_TripDistribution_2045!Y$12 * (1+KTDB_발생량도착량_증가율!$D$8 *5) * (1+KTDB_발생량도착량_증가율!$E$8 *5) * (1+KTDB_발생량도착량_증가율!$F$8 *5) * (1+KTDB_발생량도착량_증가율!$G$8 *5)</f>
        <v>311.03548180417175</v>
      </c>
      <c r="J105" s="230">
        <f t="shared" si="57"/>
        <v>311.03548180417175</v>
      </c>
      <c r="K105" s="206"/>
      <c r="L105" s="209" t="s">
        <v>481</v>
      </c>
      <c r="M105" s="213">
        <f>INDEX($A$94:$H$106,MATCH($L105,$B$94:$B$106,0),MATCH($M$93,$A$94:$H$94,0))*고양시_Modal_split!C$3 * 0.01</f>
        <v>0.10061800107893952</v>
      </c>
      <c r="N105" s="213">
        <f>INDEX($A$94:$H$106,MATCH($L105,$B$94:$B$106,0),MATCH($M$93,$A$94:$H$94,0))*고양시_Modal_split!D$3 * 0.01</f>
        <v>16.900230681223306</v>
      </c>
      <c r="O105" s="213">
        <f>INDEX($A$94:$H$106,MATCH($L105,$B$94:$B$106,0),MATCH($M$93,$A$94:$H$94,0))*고양시_Modal_split!E$3 * 0.01</f>
        <v>2.0447015219255924</v>
      </c>
      <c r="P105" s="213">
        <f>INDEX($A$94:$H$106,MATCH($L105,$B$94:$B$106,0),MATCH($M$93,$A$94:$H$94,0))*고양시_Modal_split!F$3 * 0.01</f>
        <v>3.2952395353352695</v>
      </c>
      <c r="Q105" s="213">
        <f>INDEX($A$94:$H$106,MATCH($L105,$B$94:$B$106,0),MATCH($M$93,$A$94:$H$94,0))*고양시_Modal_split!G$3 * 0.01</f>
        <v>0.33060200354508695</v>
      </c>
      <c r="R105" s="213">
        <f>INDEX($A$94:$H$106,MATCH($L105,$B$94:$B$106,0),MATCH($M$93,$A$94:$H$94,0))*고양시_Modal_split!H$3 * 0.01</f>
        <v>3.5935000385335543E-3</v>
      </c>
      <c r="S105" s="213">
        <f>INDEX($A$94:$H$106,MATCH($L105,$B$94:$B$106,0),MATCH($M$93,$A$94:$H$94,0))*고양시_Modal_split!I$3 * 0.01</f>
        <v>0.99899301071232804</v>
      </c>
      <c r="T105" s="213">
        <f>INDEX($A$94:$H$106,MATCH($L105,$B$94:$B$106,0),MATCH($M$93,$A$94:$H$94,0))*고양시_Modal_split!J$3 * 0.01</f>
        <v>10.93861411729614</v>
      </c>
      <c r="U105" s="213">
        <f>INDEX($A$94:$H$106,MATCH($L105,$B$94:$B$106,0),MATCH($M$93,$A$94:$H$94,0))*고양시_Modal_split!K$3 * 0.01</f>
        <v>5.3902500578003311E-2</v>
      </c>
      <c r="V105" s="213">
        <f>INDEX($A$94:$H$106,MATCH($L105,$B$94:$B$106,0),MATCH($M$93,$A$94:$H$94,0))*고양시_Modal_split!L$3 * 0.01</f>
        <v>1.0852370116371335</v>
      </c>
      <c r="W105" s="213">
        <f>INDEX($A$94:$H$106,MATCH($L105,$B$94:$B$106,0),MATCH($M$93,$A$94:$H$94,0))*고양시_Modal_split!M$3 * 0.01</f>
        <v>8.2650500886271738E-2</v>
      </c>
      <c r="X105" s="213">
        <f>INDEX($A$94:$H$106,MATCH($L105,$B$94:$B$106,0),MATCH($M$93,$A$94:$H$94,0))*고양시_Modal_split!N$3 * 0.01</f>
        <v>3.5935000385335543E-2</v>
      </c>
      <c r="Y105" s="213">
        <f>INDEX($A$94:$H$106,MATCH($L105,$B$94:$B$106,0),MATCH($M$93,$A$94:$H$94,0))*고양시_Modal_split!O$3 * 0.01</f>
        <v>6.468300069360397E-2</v>
      </c>
      <c r="Z105" s="213">
        <f>INDEX($A$94:$H$106,MATCH($L105,$B$94:$B$106,0),MATCH($M$93,$A$94:$H$94,0))*고양시_Modal_split!P$3 * 0.01</f>
        <v>35.935000385335542</v>
      </c>
      <c r="AA105" s="213">
        <f>INDEX($A$94:$H$106,MATCH($L105,$B$94:$B$106,0),MATCH($AA$93,$A$94:$H$94,0))*고양시_Modal_split!C$4 * 0.01</f>
        <v>79.164988207167738</v>
      </c>
      <c r="AB105" s="213">
        <f>INDEX($A$94:$H$106,MATCH($L105,$B$94:$B$106,0),MATCH($AA$93,$A$94:$H$94,0))*고양시_Modal_split!D$4 * 0.01</f>
        <v>83.404112082912931</v>
      </c>
      <c r="AC105" s="213">
        <f>INDEX($A$94:$H$106,MATCH($L105,$B$94:$B$106,0),MATCH($AA$93,$A$94:$H$94,0))*고양시_Modal_split!E$4 * 0.01</f>
        <v>20.207357370883486</v>
      </c>
      <c r="AD105" s="213">
        <f>INDEX($A$94:$H$106,MATCH($L105,$B$94:$B$106,0),MATCH($AA$93,$A$94:$H$94,0))*고양시_Modal_split!F$4 * 0.01</f>
        <v>2.470655019606089</v>
      </c>
      <c r="AE105" s="213">
        <f>INDEX($A$94:$H$106,MATCH($L105,$B$94:$B$106,0),MATCH($AA$93,$A$94:$H$94,0))*고양시_Modal_split!G$4 * 0.01</f>
        <v>30.454073978512948</v>
      </c>
      <c r="AF105" s="213">
        <f>INDEX($A$94:$H$106,MATCH($L105,$B$94:$B$106,0),MATCH($AA$93,$A$94:$H$94,0))*고양시_Modal_split!H$4 * 0.01</f>
        <v>0</v>
      </c>
      <c r="AG105" s="213">
        <f>INDEX($A$94:$H$106,MATCH($L105,$B$94:$B$106,0),MATCH($AA$93,$A$94:$H$94,0))*고양시_Modal_split!I$4 * 0.01</f>
        <v>9.0503994402412502</v>
      </c>
      <c r="AH105" s="213">
        <f>INDEX($A$94:$H$106,MATCH($L105,$B$94:$B$106,0),MATCH($AA$93,$A$94:$H$94,0))*고양시_Modal_split!J$4 * 0.01</f>
        <v>12.249247518257558</v>
      </c>
      <c r="AI105" s="213">
        <f>INDEX($A$94:$H$106,MATCH($L105,$B$94:$B$106,0),MATCH($AA$93,$A$94:$H$94,0))*고양시_Modal_split!K$4 * 0.01</f>
        <v>0</v>
      </c>
      <c r="AJ105" s="213">
        <f>INDEX($A$94:$H$106,MATCH($L105,$B$94:$B$106,0),MATCH($AA$93,$A$94:$H$94,0))*고양시_Modal_split!L$4 * 0.01</f>
        <v>12.01518546376856</v>
      </c>
      <c r="AK105" s="213">
        <f>INDEX($A$94:$H$106,MATCH($L105,$B$94:$B$106,0),MATCH($AA$93,$A$94:$H$94,0))*고양시_Modal_split!M$4 * 0.01</f>
        <v>1.7424619611958734</v>
      </c>
      <c r="AL105" s="213">
        <f>INDEX($A$94:$H$106,MATCH($L105,$B$94:$B$106,0),MATCH($AA$93,$A$94:$H$94,0))*고양시_Modal_split!N$4 * 0.01</f>
        <v>6.5017237358054967</v>
      </c>
      <c r="AM105" s="213">
        <f>INDEX($A$94:$H$106,MATCH($L105,$B$94:$B$106,0),MATCH($AA$93,$A$94:$H$94,0))*고양시_Modal_split!O$4 * 0.01</f>
        <v>2.8087446538679752</v>
      </c>
      <c r="AN105" s="213">
        <f>INDEX($A$94:$H$106,MATCH($L105,$B$94:$B$106,0),MATCH($AA$93,$A$94:$H$94,0))*고양시_Modal_split!P$4 * 0.01</f>
        <v>260.06894943221988</v>
      </c>
      <c r="AO105" s="213">
        <f>INDEX($A$94:$H$106,MATCH($L105,$B$94:$B$106,0),MATCH($AO$93,$A$94:$H$94,0))*고양시_Modal_split!C$5 * 0.01</f>
        <v>8.9517071425322479E-3</v>
      </c>
      <c r="AP105" s="213">
        <f>INDEX($A$94:$H$106,MATCH($L105,$B$94:$B$106,0),MATCH($AO$93,$A$94:$H$94,0))*고양시_Modal_split!D$5 * 0.01</f>
        <v>10.933018323412719</v>
      </c>
      <c r="AQ105" s="213">
        <f>INDEX($A$94:$H$106,MATCH($L105,$B$94:$B$106,0),MATCH($AO$93,$A$94:$H$94,0))*고양시_Modal_split!E$5 * 0.01</f>
        <v>1.4695719225657107</v>
      </c>
      <c r="AR105" s="213">
        <f>INDEX($A$94:$H$106,MATCH($L105,$B$94:$B$106,0),MATCH($AO$93,$A$94:$H$94,0))*고양시_Modal_split!F$5 * 0.01</f>
        <v>0.31330974998862871</v>
      </c>
      <c r="AS105" s="213">
        <f>INDEX($A$94:$H$106,MATCH($L105,$B$94:$B$106,0),MATCH($AO$93,$A$94:$H$94,0))*고양시_Modal_split!G$5 * 0.01</f>
        <v>9.6976827377432698E-2</v>
      </c>
      <c r="AT105" s="213">
        <f>INDEX($A$94:$H$106,MATCH($L105,$B$94:$B$106,0),MATCH($AO$93,$A$94:$H$94,0))*고양시_Modal_split!H$5 * 0.01</f>
        <v>1.0443658332954289E-2</v>
      </c>
      <c r="AU105" s="213">
        <f>INDEX($A$94:$H$106,MATCH($L105,$B$94:$B$106,0),MATCH($AO$93,$A$94:$H$94,0))*고양시_Modal_split!I$5 * 0.01</f>
        <v>0.41327047974690545</v>
      </c>
      <c r="AV105" s="213">
        <f>INDEX($A$94:$H$106,MATCH($L105,$B$94:$B$106,0),MATCH($AO$93,$A$94:$H$94,0))*고양시_Modal_split!J$5 * 0.01</f>
        <v>0.93545339639462</v>
      </c>
      <c r="AW105" s="213">
        <f>INDEX($A$94:$H$106,MATCH($L105,$B$94:$B$106,0),MATCH($AO$93,$A$94:$H$94,0))*고양시_Modal_split!K$5 * 0.01</f>
        <v>2.9839023808440829E-3</v>
      </c>
      <c r="AX105" s="213">
        <f>INDEX($A$94:$H$106,MATCH($L105,$B$94:$B$106,0),MATCH($AO$93,$A$94:$H$94,0))*고양시_Modal_split!L$5 * 0.01</f>
        <v>0.38044755355762055</v>
      </c>
      <c r="AY105" s="213">
        <f>INDEX($A$94:$H$106,MATCH($L105,$B$94:$B$106,0),MATCH($AO$93,$A$94:$H$94,0))*고양시_Modal_split!M$5 * 0.01</f>
        <v>9.9960729758276787E-2</v>
      </c>
      <c r="AZ105" s="213">
        <f>INDEX($A$94:$H$106,MATCH($L105,$B$94:$B$106,0),MATCH($AO$93,$A$94:$H$94,0))*고양시_Modal_split!N$5 * 0.01</f>
        <v>2.5363170237174701E-2</v>
      </c>
      <c r="BA105" s="213">
        <f>INDEX($A$94:$H$106,MATCH($L105,$B$94:$B$106,0),MATCH($AO$93,$A$94:$H$94,0))*고양시_Modal_split!O$5 * 0.01</f>
        <v>0.22976048332499438</v>
      </c>
      <c r="BB105" s="213">
        <f>INDEX($A$94:$H$106,MATCH($L105,$B$94:$B$106,0),MATCH($AO$93,$A$94:$H$94,0))*고양시_Modal_split!P$5 * 0.01</f>
        <v>14.919511904220412</v>
      </c>
      <c r="BC105" s="213">
        <f>INDEX($A$94:$H$106,MATCH($L105,$B$94:$B$106,0),MATCH($BC$93,$A$94:$H$94,0))*고양시_Modal_split!C$6 * 0.01</f>
        <v>0</v>
      </c>
      <c r="BD105" s="207">
        <f>INDEX($A$94:$H$106,MATCH($L105,$B$94:$B$106,0),MATCH($BC$93,$A$94:$H$94,0))*고양시_Modal_split!D$6 * 0.01</f>
        <v>1.9415685397409552E-2</v>
      </c>
      <c r="BE105" s="207">
        <f>INDEX($A$94:$H$106,MATCH($L105,$B$94:$B$106,0),MATCH($BC$93,$A$94:$H$94,0))*고양시_Modal_split!E$6 * 0.01</f>
        <v>1.0081807415633508E-4</v>
      </c>
      <c r="BF105" s="207">
        <f>INDEX($A$94:$H$106,MATCH($L105,$B$94:$B$106,0),MATCH($BC$93,$A$94:$H$94,0))*고양시_Modal_split!F$6 * 0.01</f>
        <v>2.860419778389042E-4</v>
      </c>
      <c r="BG105" s="207">
        <f>INDEX($A$94:$H$106,MATCH($L105,$B$94:$B$106,0),MATCH($BC$93,$A$94:$H$94,0))*고양시_Modal_split!G$6 * 0.01</f>
        <v>0</v>
      </c>
      <c r="BH105" s="207">
        <f>INDEX($A$94:$H$106,MATCH($L105,$B$94:$B$106,0),MATCH($BC$93,$A$94:$H$94,0))*고양시_Modal_split!H$6 * 0.01</f>
        <v>1.2449859855119521E-3</v>
      </c>
      <c r="BI105" s="207">
        <f>INDEX($A$94:$H$106,MATCH($L105,$B$94:$B$106,0),MATCH($BC$93,$A$94:$H$94,0))*고양시_Modal_split!I$6 * 0.01</f>
        <v>8.2999065700796796E-4</v>
      </c>
      <c r="BJ105" s="207">
        <f>INDEX($A$94:$H$106,MATCH($L105,$B$94:$B$106,0),MATCH($BC$93,$A$94:$H$94,0))*고양시_Modal_split!J$6 * 0.01</f>
        <v>1.1582355496099891E-3</v>
      </c>
      <c r="BK105" s="207">
        <f>INDEX($A$94:$H$106,MATCH($L105,$B$94:$B$106,0),MATCH($BC$93,$A$94:$H$94,0))*고양시_Modal_split!K$6 * 0.01</f>
        <v>0</v>
      </c>
      <c r="BL105" s="207">
        <f>INDEX($A$94:$H$106,MATCH($L105,$B$94:$B$106,0),MATCH($BC$93,$A$94:$H$94,0))*고양시_Modal_split!L$6 * 0.01</f>
        <v>1.7819008455538296E-4</v>
      </c>
      <c r="BM105" s="207">
        <f>INDEX($A$94:$H$106,MATCH($L105,$B$94:$B$106,0),MATCH($BC$93,$A$94:$H$94,0))*고양시_Modal_split!M$6 * 0.01</f>
        <v>2.1335918019131379E-4</v>
      </c>
      <c r="BN105" s="207">
        <f>INDEX($A$94:$H$106,MATCH($L105,$B$94:$B$106,0),MATCH($BC$93,$A$94:$H$94,0))*고양시_Modal_split!N$6 * 0.01</f>
        <v>0</v>
      </c>
      <c r="BO105" s="207">
        <f>INDEX($A$94:$H$106,MATCH($L105,$B$94:$B$106,0),MATCH($BC$93,$A$94:$H$94,0))*고양시_Modal_split!O$6 * 0.01</f>
        <v>1.8756851005829785E-5</v>
      </c>
      <c r="BP105" s="214">
        <f>INDEX($A$94:$H$106,MATCH($L105,$B$94:$B$106,0),MATCH($BC$93,$A$94:$H$94,0))*고양시_Modal_split!P$6 * 0.01</f>
        <v>2.3446063757287229E-2</v>
      </c>
      <c r="BQ105" s="213">
        <f>INDEX($A$94:$H$106,MATCH($L105,$B$94:$B$106,0),MATCH($BQ$93,$A$94:$H$94,0))*고양시_Modal_split!C$7 * 0.01</f>
        <v>0</v>
      </c>
      <c r="BR105" s="213">
        <f>INDEX($A$94:$H$106,MATCH($L105,$B$94:$B$106,0),MATCH($BQ$93,$A$94:$H$94,0))*고양시_Modal_split!D$7 * 0.01</f>
        <v>5.427815862175895E-2</v>
      </c>
      <c r="BS105" s="213">
        <f>INDEX($A$94:$H$106,MATCH($L105,$B$94:$B$106,0),MATCH($BQ$93,$A$94:$H$94,0))*고양시_Modal_split!E$7 * 0.01</f>
        <v>2.6483631572953533E-3</v>
      </c>
      <c r="BT105" s="213">
        <f>INDEX($A$94:$H$106,MATCH($L105,$B$94:$B$106,0),MATCH($BQ$93,$A$94:$H$94,0))*고양시_Modal_split!F$7 * 0.01</f>
        <v>8.8574018638640575E-4</v>
      </c>
      <c r="BU105" s="213">
        <f>INDEX($A$94:$H$106,MATCH($L105,$B$94:$B$106,0),MATCH($BQ$93,$A$94:$H$94,0))*고양시_Modal_split!G$7 * 0.01</f>
        <v>3.7201087828229041E-4</v>
      </c>
      <c r="BV105" s="213">
        <f>INDEX($A$94:$H$106,MATCH($L105,$B$94:$B$106,0),MATCH($BQ$93,$A$94:$H$94,0))*고양시_Modal_split!H$7 * 0.01</f>
        <v>4.9512876419000084E-3</v>
      </c>
      <c r="BW105" s="213">
        <f>INDEX($A$94:$H$106,MATCH($L105,$B$94:$B$106,0),MATCH($BQ$93,$A$94:$H$94,0))*고양시_Modal_split!I$7 * 0.01</f>
        <v>1.6536769279834197E-2</v>
      </c>
      <c r="BX105" s="213">
        <f>INDEX($A$94:$H$106,MATCH($L105,$B$94:$B$106,0),MATCH($BQ$93,$A$94:$H$94,0))*고양시_Modal_split!J$7 * 0.01</f>
        <v>1.7714803727728116E-5</v>
      </c>
      <c r="BY105" s="213">
        <f>INDEX($A$94:$H$106,MATCH($L105,$B$94:$B$106,0),MATCH($BQ$93,$A$94:$H$94,0))*고양시_Modal_split!K$7 * 0.01</f>
        <v>6.8201994351753253E-3</v>
      </c>
      <c r="BZ105" s="213">
        <f>INDEX($A$94:$H$106,MATCH($L105,$B$94:$B$106,0),MATCH($BQ$93,$A$94:$H$94,0))*고양시_Modal_split!L$7 * 0.01</f>
        <v>6.2001813047048393E-5</v>
      </c>
      <c r="CA105" s="213">
        <f>INDEX($A$94:$H$106,MATCH($L105,$B$94:$B$106,0),MATCH($BQ$93,$A$94:$H$94,0))*고양시_Modal_split!M$7 * 0.01</f>
        <v>1.656334148542579E-3</v>
      </c>
      <c r="CB105" s="213">
        <f>INDEX($A$94:$H$106,MATCH($L105,$B$94:$B$106,0),MATCH($BQ$93,$A$94:$H$94,0))*고양시_Modal_split!N$7 * 0.01</f>
        <v>3.4543867269069822E-4</v>
      </c>
      <c r="CC105" s="213">
        <f>INDEX($A$94:$H$106,MATCH($L105,$B$94:$B$106,0),MATCH($BQ$93,$A$94:$H$94,0))*고양시_Modal_split!O$7 * 0.01</f>
        <v>0</v>
      </c>
      <c r="CD105" s="213">
        <f>INDEX($A$94:$H$106,MATCH($L105,$B$94:$B$106,0),MATCH($BQ$93,$A$94:$H$94,0))*고양시_Modal_split!P$7 * 0.01</f>
        <v>8.8574018638640575E-2</v>
      </c>
      <c r="CE105" s="218">
        <f t="shared" si="58"/>
        <v>79.274557915389209</v>
      </c>
      <c r="CF105" s="208">
        <f t="shared" si="39"/>
        <v>111.31105493156812</v>
      </c>
      <c r="CG105" s="208">
        <f t="shared" si="40"/>
        <v>23.724379996606238</v>
      </c>
      <c r="CH105" s="208">
        <f t="shared" si="41"/>
        <v>6.0803760870942121</v>
      </c>
      <c r="CI105" s="208">
        <f t="shared" si="42"/>
        <v>30.882024820313752</v>
      </c>
      <c r="CJ105" s="208">
        <f t="shared" si="43"/>
        <v>2.0233431998899803E-2</v>
      </c>
      <c r="CK105" s="208">
        <f t="shared" si="44"/>
        <v>10.480029690637327</v>
      </c>
      <c r="CL105" s="208">
        <f t="shared" si="45"/>
        <v>24.124490982301658</v>
      </c>
      <c r="CM105" s="208">
        <f t="shared" si="46"/>
        <v>6.3706602394022718E-2</v>
      </c>
      <c r="CN105" s="208">
        <f t="shared" si="47"/>
        <v>13.481110220860918</v>
      </c>
      <c r="CO105" s="208">
        <f t="shared" si="48"/>
        <v>1.9269428851691557</v>
      </c>
      <c r="CP105" s="208">
        <f t="shared" si="49"/>
        <v>6.5633673451006977</v>
      </c>
      <c r="CQ105" s="208">
        <f t="shared" si="50"/>
        <v>3.1032068947375793</v>
      </c>
      <c r="CR105" s="219">
        <f t="shared" si="51"/>
        <v>311.03548180417175</v>
      </c>
      <c r="CS105" s="225">
        <f t="shared" si="59"/>
        <v>0</v>
      </c>
      <c r="CV105" s="265"/>
      <c r="CW105" s="266" t="s">
        <v>481</v>
      </c>
      <c r="CX105" s="267">
        <f>INDEX($M$93:$Z$106,MATCH($CW105,$L$93:$L$106,0),MATCH(CX$94,$M$94:$Z$94,0))/INDEX(고양시_재차인원!$D$4:$H$35,MATCH("고양시",고양시_재차인원!$B$4:$B$35,0),MATCH('A.일산테크노밸리(859991)_수정'!$CX$93,고양시_재차인원!$D$4:$H$4,0))</f>
        <v>15.089491679663665</v>
      </c>
      <c r="CY105" s="267">
        <f>INDEX($M$93:$Z$106,MATCH($CW105,$L$93:$L$106,0),MATCH(CY$94,$M$94:$Z$94,0))/INDEX(고양시_재차인원!$K$4:$O$20,MATCH("경기도",고양시_재차인원!$K$4:$K$20,0),MATCH('A.일산테크노밸리(859991)_수정'!CY$94,고양시_재차인원!$K$4:$O$4,0))</f>
        <v>1.248176463540658E-4</v>
      </c>
      <c r="CZ105" s="267">
        <f>INDEX($M$93:$Z$106,MATCH($CW105,$L$93:$L$106,0),MATCH(CZ$94,$M$94:$Z$94,0))/INDEX(고양시_재차인원!$K$4:$O$20,MATCH("경기도",고양시_재차인원!$K$4:$K$20,0),MATCH('A.일산테크노밸리(859991)_수정'!CZ$94,고양시_재차인원!$K$4:$O$4,0))</f>
        <v>3.4699305686430294E-2</v>
      </c>
      <c r="DA105" s="267">
        <f>INDEX($M$93:$Z$106,MATCH($CW105,$L$93:$L$106,0),MATCH(DA$94,$M$94:$Z$94,0))/INDEX(고양시_재차인원!$K$4:$O$20,MATCH("경기도",고양시_재차인원!$K$4:$K$20,0),MATCH('A.일산테크노밸리(859991)_수정'!DA$94,고양시_재차인원!$K$4:$O$4,0))</f>
        <v>0.72349134109142232</v>
      </c>
      <c r="DB105" s="268">
        <f>INDEX($AA$93:$AN$106,MATCH($CW105,$L$93:$L$106,0),MATCH(DB$94,$AA$94:$AN$94,0))/INDEX(고양시_재차인원!$D$4:$H$35,MATCH("고양시",고양시_재차인원!$B$4:$B$35,0),MATCH('A.일산테크노밸리(859991)_수정'!$DB$93,고양시_재차인원!$D$4:$H$4,0))</f>
        <v>59.151852541073005</v>
      </c>
      <c r="DC105" s="267">
        <f>INDEX($AA$93:$AN$106,MATCH($CW105,$L$93:$L$106,0),MATCH(DC$94,$AA$94:$AN$94,0))/INDEX(고양시_재차인원!$K$4:$O$20,MATCH("경기도",고양시_재차인원!$K$4:$K$20,0),MATCH('A.일산테크노밸리(859991)_수정'!DC$94,고양시_재차인원!$K$4:$O$4,0))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5" s="267">
        <f>INDEX($AA$93:$AN$106,MATCH($CW105,$L$93:$L$106,0),MATCH(DD$94,$AA$94:$AN$94,0))/INDEX(고양시_재차인원!$K$4:$O$20,MATCH("경기도",고양시_재차인원!$K$4:$K$20,0),MATCH('A.일산테크노밸리(859991)_수정'!DD$94,고양시_재차인원!$K$4:$O$4,0))</f>
        <v>0.31435913304068253</v>
      </c>
      <c r="DE105" s="267">
        <f>INDEX($AA$93:$AN$106,MATCH($CW105,$L$93:$L$106,0),MATCH(DE$94,$AA$94:$AN$94,0))/INDEX(고양시_재차인원!$K$4:$O$20,MATCH("경기도",고양시_재차인원!$K$4:$K$20,0),MATCH('A.일산테크노밸리(859991)_수정'!DE$94,고양시_재차인원!$K$4:$O$4,0))</f>
        <v>8.0101236425123741</v>
      </c>
      <c r="DF105" s="268">
        <f>INDEX($AO$93:$BB$106,MATCH($CW105,$L$93:$L$106,0),MATCH(DF$94,$AO$94:$BB$94,0))/INDEX(고양시_재차인원!$D$4:$H$35,MATCH("고양시",고양시_재차인원!$B$4:$B$35,0),MATCH('A.일산테크노밸리(859991)_수정'!$DF$93,고양시_재차인원!$D$4:$H$4,0))</f>
        <v>8.4100140949328601</v>
      </c>
      <c r="DG105" s="267">
        <f>INDEX($AO$93:$BB$106,MATCH($CW105,$L$93:$L$106,0),MATCH(DG$94,$AO$94:$BB$94,0))/INDEX(고양시_재차인원!$K$4:$O$20,MATCH("경기도",고양시_재차인원!$K$4:$K$20,0),MATCH('A.일산테크노밸리(859991)_수정'!DG$94,고양시_재차인원!$K$4:$O$4,0))</f>
        <v>3.6275298134610246E-4</v>
      </c>
      <c r="DH105" s="267">
        <f>INDEX($AO$93:$BB$106,MATCH($CW105,$L$93:$L$106,0),MATCH(DH$94,$AO$94:$BB$94,0))/INDEX(고양시_재차인원!$K$4:$O$20,MATCH("경기도",고양시_재차인원!$K$4:$K$20,0),MATCH('A.일산테크노밸리(859991)_수정'!DH$94,고양시_재차인원!$K$4:$O$4,0))</f>
        <v>1.4354653690410054E-2</v>
      </c>
      <c r="DI105" s="267">
        <f>INDEX($AO$93:$BB$106,MATCH($CW105,$L$93:$L$106,0),MATCH(DI$94,$AO$94:$BB$94,0))/INDEX(고양시_재차인원!$K$4:$O$20,MATCH("경기도",고양시_재차인원!$K$4:$K$20,0),MATCH('A.일산테크노밸리(859991)_수정'!DI$94,고양시_재차인원!$K$4:$O$4,0))</f>
        <v>0.25363170237174704</v>
      </c>
      <c r="DJ105" s="268">
        <f>INDEX($BC$93:$BP$106,MATCH($CW105,$L$93:$L$106,0),MATCH(DJ$94,$BC$94:$BP$94,0))/INDEX(고양시_재차인원!$D$4:$H$35,MATCH("고양시",고양시_재차인원!$B$4:$B$35,0),MATCH('A.일산테크노밸리(859991)_수정'!$DJ$93,고양시_재차인원!$D$4:$H$4,0))</f>
        <v>1.427623926280114E-2</v>
      </c>
      <c r="DK105" s="267">
        <f>INDEX($BC$93:$BP$106,MATCH($CW105,$L$93:$L$106,0),MATCH(DK$94,$BC$94:$BP$94,0))/INDEX(고양시_재차인원!$K$4:$O$20,MATCH("경기도",고양시_재차인원!$K$4:$K$20,0),MATCH('A.일산테크노밸리(859991)_수정'!DK$94,고양시_재차인원!$K$4:$O$4,0))</f>
        <v>4.324369522445127E-5</v>
      </c>
      <c r="DL105" s="267">
        <f>INDEX($BC$93:$BP$106,MATCH($CW105,$L$93:$L$106,0),MATCH(DL$94,$BC$94:$BP$94,0))/INDEX(고양시_재차인원!$K$4:$O$20,MATCH("경기도",고양시_재차인원!$K$4:$K$20,0),MATCH('A.일산테크노밸리(859991)_수정'!DL$94,고양시_재차인원!$K$4:$O$4,0))</f>
        <v>2.8829130149634178E-5</v>
      </c>
      <c r="DM105" s="267">
        <f>INDEX($BC$93:$BP$106,MATCH($CW105,$L$93:$L$106,0),MATCH(DM$94,$BC$94:$BP$94,0))/INDEX(고양시_재차인원!$K$4:$O$20,MATCH("경기도",고양시_재차인원!$K$4:$K$20,0),MATCH('A.일산테크노밸리(859991)_수정'!DM$94,고양시_재차인원!$K$4:$O$4,0))</f>
        <v>1.1879338970358864E-4</v>
      </c>
      <c r="DN105" s="268">
        <f>INDEX($BQ$93:$CD$106,MATCH($CW105,$L$93:$L$106,0),MATCH(DN$94,$BQ$94:$CD$94,0))/INDEX(고양시_재차인원!$D$4:$H$35,MATCH("고양시",고양시_재차인원!$B$4:$B$35,0),MATCH('A.일산테크노밸리(859991)_수정'!$DN$93,고양시_재차인원!$D$4:$H$4,0))</f>
        <v>4.3077903668062661E-2</v>
      </c>
      <c r="DO105" s="267">
        <f>INDEX($BQ$93:$CD$106,MATCH($CW105,$L$93:$L$106,0),MATCH(DO$94,$BQ$94:$CD$94,0))/INDEX(고양시_재차인원!$K$4:$O$20,MATCH("경기도",고양시_재차인원!$K$4:$K$20,0),MATCH('A.일산테크노밸리(859991)_수정'!DO$94,고양시_재차인원!$K$4:$O$4,0))</f>
        <v>1.7197942486627329E-4</v>
      </c>
      <c r="DP105" s="267">
        <f>INDEX($BQ$93:$CD$106,MATCH($CW105,$L$93:$L$106,0),MATCH(DP$94,$BQ$94:$CD$94,0))/INDEX(고양시_재차인원!$K$4:$O$20,MATCH("경기도",고양시_재차인원!$K$4:$K$20,0),MATCH('A.일산테크노밸리(859991)_수정'!DP$94,고양시_재차인원!$K$4:$O$4,0))</f>
        <v>5.743928197233136E-4</v>
      </c>
      <c r="DQ105" s="267">
        <f>INDEX($BQ$93:$CD$106,MATCH($CW105,$L$93:$L$106,0),MATCH(DQ$94,$BQ$94:$CD$94,0))/INDEX(고양시_재차인원!$K$4:$O$20,MATCH("경기도",고양시_재차인원!$K$4:$K$20,0),MATCH('A.일산테크노밸리(859991)_수정'!DQ$94,고양시_재차인원!$K$4:$O$4,0))</f>
        <v>4.1334542031365593E-5</v>
      </c>
      <c r="DR105" s="269">
        <f t="shared" si="60"/>
        <v>82.708712458600388</v>
      </c>
      <c r="DS105" s="270">
        <f t="shared" si="52"/>
        <v>7.0279374779089285E-4</v>
      </c>
      <c r="DT105" s="270">
        <f t="shared" si="53"/>
        <v>0.36401631436739584</v>
      </c>
      <c r="DU105" s="270">
        <f t="shared" si="54"/>
        <v>8.9874068139072776</v>
      </c>
      <c r="DW105" s="278"/>
      <c r="DX105" s="278"/>
      <c r="DY105" s="281" t="b">
        <f>SUM(DY95:DY103)=DY104</f>
        <v>1</v>
      </c>
      <c r="DZ105" s="281" t="b">
        <f>SUM(DZ95:DZ103)=DZ104</f>
        <v>1</v>
      </c>
      <c r="EC105" s="412" t="s">
        <v>15</v>
      </c>
      <c r="ED105" s="412" t="s">
        <v>89</v>
      </c>
      <c r="EE105" s="412">
        <v>6744.6391999999996</v>
      </c>
      <c r="EF105" s="412">
        <v>3.132473616271262E-2</v>
      </c>
      <c r="EG105" s="413">
        <v>859012</v>
      </c>
      <c r="EH105" s="414">
        <f t="shared" si="55"/>
        <v>235.30196561328924</v>
      </c>
      <c r="EI105" s="415">
        <f t="shared" si="56"/>
        <v>0.93590790664964929</v>
      </c>
      <c r="EJ105" s="402">
        <v>0</v>
      </c>
      <c r="EM105" s="278" t="s">
        <v>15</v>
      </c>
      <c r="EN105" s="278" t="s">
        <v>89</v>
      </c>
      <c r="EO105" s="278">
        <v>6744.6391999999996</v>
      </c>
      <c r="EP105" s="278">
        <v>3.132473616271262E-2</v>
      </c>
      <c r="EQ105" s="289">
        <v>859012</v>
      </c>
      <c r="ER105" s="290">
        <f t="shared" si="37"/>
        <v>235.30196561328924</v>
      </c>
      <c r="ES105" s="291">
        <f t="shared" si="38"/>
        <v>0.93590790664964929</v>
      </c>
      <c r="ET105" s="402">
        <v>0</v>
      </c>
      <c r="EV105" s="34"/>
      <c r="EW105" s="34"/>
      <c r="EX105" s="34"/>
      <c r="EY105" s="34"/>
      <c r="EZ105" s="378"/>
      <c r="FA105" s="401"/>
      <c r="FB105" s="402"/>
      <c r="FC105" s="402"/>
    </row>
    <row r="106" spans="1:159" ht="17.5" thickBot="1">
      <c r="A106" s="205"/>
      <c r="B106" s="205" t="s">
        <v>26</v>
      </c>
      <c r="C106" s="400">
        <f>'A.일산테크노밸리(859991)_수정'!$P39*KTDB_TripDistribution_2045!T$12 * (1+KTDB_발생량도착량_증가율!$D$8 *5) * (1+KTDB_발생량도착량_증가율!$E$8 *5) * (1+KTDB_발생량도착량_증가율!$F$8 *5) * (1+KTDB_발생량도착량_증가율!$G$8 *5)</f>
        <v>4288.3826622639372</v>
      </c>
      <c r="D106" s="400">
        <f>'A.일산테크노밸리(859991)_수정'!$P39*KTDB_TripDistribution_2045!U$12 * (1+KTDB_발생량도착량_증가율!$D$8 *5) * (1+KTDB_발생량도착량_증가율!$E$8 *5) * (1+KTDB_발생량도착량_증가율!$F$8 *5) * (1+KTDB_발생량도착량_증가율!$G$8 *5)</f>
        <v>31035.902651428758</v>
      </c>
      <c r="E106" s="400">
        <f>'A.일산테크노밸리(859991)_수정'!$P39*KTDB_TripDistribution_2045!V$12 * (1+KTDB_발생량도착량_증가율!$D$8 *5) * (1+KTDB_발생량도착량_증가율!$E$8 *5) * (1+KTDB_발생량도착량_증가율!$F$8 *5) * (1+KTDB_발생량도착량_증가율!$G$8 *5)</f>
        <v>1780.4529148024894</v>
      </c>
      <c r="F106" s="400">
        <f>'A.일산테크노밸리(859991)_수정'!$P39*KTDB_TripDistribution_2045!W$12 * (1+KTDB_발생량도착량_증가율!$D$8 *5) * (1+KTDB_발생량도착량_증가율!$E$8 *5) * (1+KTDB_발생량도착량_증가율!$F$8 *5) * (1+KTDB_발생량도착량_증가율!$G$8 *5)</f>
        <v>2.7979878179190556</v>
      </c>
      <c r="G106" s="400">
        <f>'A.일산테크노밸리(859991)_수정'!$P39*KTDB_TripDistribution_2045!X$12 * (1+KTDB_발생량도착량_증가율!$D$8 *5) * (1+KTDB_발생량도착량_증가율!$E$8 *5) * (1+KTDB_발생량도착량_증가율!$F$8 *5) * (1+KTDB_발생량도착량_증가율!$G$8 *5)</f>
        <v>10.570176201027536</v>
      </c>
      <c r="H106" s="400">
        <f>'A.일산테크노밸리(859991)_수정'!$P39*KTDB_TripDistribution_2045!Y$12 * (1+KTDB_발생량도착량_증가율!$D$8 *5) * (1+KTDB_발생량도착량_증가율!$E$8 *5) * (1+KTDB_발생량도착량_증가율!$F$8 *5) * (1+KTDB_발생량도착량_증가율!$G$8 *5)</f>
        <v>37118.106392514128</v>
      </c>
      <c r="I106" t="b">
        <f>H106=$P$39</f>
        <v>0</v>
      </c>
      <c r="J106" s="230">
        <f t="shared" si="57"/>
        <v>37118.106392514128</v>
      </c>
      <c r="K106" s="206"/>
      <c r="L106" s="209" t="s">
        <v>26</v>
      </c>
      <c r="M106" s="213">
        <f>INDEX($A$94:$H$106,MATCH($L106,$B$94:$B$106,0),MATCH($M$93,$A$94:$H$94,0))*고양시_Modal_split!C$3 * 0.01</f>
        <v>12.007471454339022</v>
      </c>
      <c r="N106" s="213">
        <f>INDEX($A$94:$H$106,MATCH($L106,$B$94:$B$106,0),MATCH($M$93,$A$94:$H$94,0))*고양시_Modal_split!D$3 * 0.01</f>
        <v>2016.8263660627299</v>
      </c>
      <c r="O106" s="213">
        <f>INDEX($A$94:$H$106,MATCH($L106,$B$94:$B$106,0),MATCH($M$93,$A$94:$H$94,0))*고양시_Modal_split!E$3 * 0.01</f>
        <v>244.00897348281799</v>
      </c>
      <c r="P106" s="213">
        <f>INDEX($A$94:$H$106,MATCH($L106,$B$94:$B$106,0),MATCH($M$93,$A$94:$H$94,0))*고양시_Modal_split!F$3 * 0.01</f>
        <v>393.24469012960304</v>
      </c>
      <c r="Q106" s="213">
        <f>INDEX($A$94:$H$106,MATCH($L106,$B$94:$B$106,0),MATCH($M$93,$A$94:$H$94,0))*고양시_Modal_split!G$3 * 0.01</f>
        <v>39.453120492828219</v>
      </c>
      <c r="R106" s="213">
        <f>INDEX($A$94:$H$106,MATCH($L106,$B$94:$B$106,0),MATCH($M$93,$A$94:$H$94,0))*고양시_Modal_split!H$3 * 0.01</f>
        <v>0.42883826622639376</v>
      </c>
      <c r="S106" s="213">
        <f>INDEX($A$94:$H$106,MATCH($L106,$B$94:$B$106,0),MATCH($M$93,$A$94:$H$94,0))*고양시_Modal_split!I$3 * 0.01</f>
        <v>119.21703801093746</v>
      </c>
      <c r="T106" s="213">
        <f>INDEX($A$94:$H$106,MATCH($L106,$B$94:$B$106,0),MATCH($M$93,$A$94:$H$94,0))*고양시_Modal_split!J$3 * 0.01</f>
        <v>1305.3836823931426</v>
      </c>
      <c r="U106" s="213">
        <f>INDEX($A$94:$H$106,MATCH($L106,$B$94:$B$106,0),MATCH($M$93,$A$94:$H$94,0))*고양시_Modal_split!K$3 * 0.01</f>
        <v>6.4325739933959056</v>
      </c>
      <c r="V106" s="213">
        <f>INDEX($A$94:$H$106,MATCH($L106,$B$94:$B$106,0),MATCH($M$93,$A$94:$H$94,0))*고양시_Modal_split!L$3 * 0.01</f>
        <v>129.5091564003709</v>
      </c>
      <c r="W106" s="213">
        <f>INDEX($A$94:$H$106,MATCH($L106,$B$94:$B$106,0),MATCH($M$93,$A$94:$H$94,0))*고양시_Modal_split!M$3 * 0.01</f>
        <v>9.8632801232070548</v>
      </c>
      <c r="X106" s="213">
        <f>INDEX($A$94:$H$106,MATCH($L106,$B$94:$B$106,0),MATCH($M$93,$A$94:$H$94,0))*고양시_Modal_split!N$3 * 0.01</f>
        <v>4.2883826622639374</v>
      </c>
      <c r="Y106" s="213">
        <f>INDEX($A$94:$H$106,MATCH($L106,$B$94:$B$106,0),MATCH($M$93,$A$94:$H$94,0))*고양시_Modal_split!O$3 * 0.01</f>
        <v>7.7190887920750866</v>
      </c>
      <c r="Z106" s="213">
        <f>INDEX($A$94:$H$106,MATCH($L106,$B$94:$B$106,0),MATCH($M$93,$A$94:$H$94,0))*고양시_Modal_split!P$3 * 0.01</f>
        <v>4288.3826622639372</v>
      </c>
      <c r="AA106" s="213">
        <f>INDEX($A$94:$H$106,MATCH($L106,$B$94:$B$106,0),MATCH($AA$93,$A$94:$H$94,0))*고양시_Modal_split!C$4 * 0.01</f>
        <v>9447.3287670949157</v>
      </c>
      <c r="AB106" s="213">
        <f>INDEX($A$94:$H$106,MATCH($L106,$B$94:$B$106,0),MATCH($AA$93,$A$94:$H$94,0))*고양시_Modal_split!D$4 * 0.01</f>
        <v>9953.2139803132031</v>
      </c>
      <c r="AC106" s="213">
        <f>INDEX($A$94:$H$106,MATCH($L106,$B$94:$B$106,0),MATCH($AA$93,$A$94:$H$94,0))*고양시_Modal_split!E$4 * 0.01</f>
        <v>2411.4896360160146</v>
      </c>
      <c r="AD106" s="213">
        <f>INDEX($A$94:$H$106,MATCH($L106,$B$94:$B$106,0),MATCH($AA$93,$A$94:$H$94,0))*고양시_Modal_split!F$4 * 0.01</f>
        <v>294.8410751885732</v>
      </c>
      <c r="AE106" s="213">
        <f>INDEX($A$94:$H$106,MATCH($L106,$B$94:$B$106,0),MATCH($AA$93,$A$94:$H$94,0))*고양시_Modal_split!G$4 * 0.01</f>
        <v>3634.3042004823074</v>
      </c>
      <c r="AF106" s="213">
        <f>INDEX($A$94:$H$106,MATCH($L106,$B$94:$B$106,0),MATCH($AA$93,$A$94:$H$94,0))*고양시_Modal_split!H$4 * 0.01</f>
        <v>0</v>
      </c>
      <c r="AG106" s="213">
        <f>INDEX($A$94:$H$106,MATCH($L106,$B$94:$B$106,0),MATCH($AA$93,$A$94:$H$94,0))*고양시_Modal_split!I$4 * 0.01</f>
        <v>1080.0494122697207</v>
      </c>
      <c r="AH106" s="213">
        <f>INDEX($A$94:$H$106,MATCH($L106,$B$94:$B$106,0),MATCH($AA$93,$A$94:$H$94,0))*고양시_Modal_split!J$4 * 0.01</f>
        <v>1461.7910148822943</v>
      </c>
      <c r="AI106" s="213">
        <f>INDEX($A$94:$H$106,MATCH($L106,$B$94:$B$106,0),MATCH($AA$93,$A$94:$H$94,0))*고양시_Modal_split!K$4 * 0.01</f>
        <v>0</v>
      </c>
      <c r="AJ106" s="213">
        <f>INDEX($A$94:$H$106,MATCH($L106,$B$94:$B$106,0),MATCH($AA$93,$A$94:$H$94,0))*고양시_Modal_split!L$4 * 0.01</f>
        <v>1433.8587024960088</v>
      </c>
      <c r="AK106" s="213">
        <f>INDEX($A$94:$H$106,MATCH($L106,$B$94:$B$106,0),MATCH($AA$93,$A$94:$H$94,0))*고양시_Modal_split!M$4 * 0.01</f>
        <v>207.9405477645727</v>
      </c>
      <c r="AL106" s="213">
        <f>INDEX($A$94:$H$106,MATCH($L106,$B$94:$B$106,0),MATCH($AA$93,$A$94:$H$94,0))*고양시_Modal_split!N$4 * 0.01</f>
        <v>775.89756628571899</v>
      </c>
      <c r="AM106" s="213">
        <f>INDEX($A$94:$H$106,MATCH($L106,$B$94:$B$106,0),MATCH($AA$93,$A$94:$H$94,0))*고양시_Modal_split!O$4 * 0.01</f>
        <v>335.18774863543064</v>
      </c>
      <c r="AN106" s="213">
        <f>INDEX($A$94:$H$106,MATCH($L106,$B$94:$B$106,0),MATCH($AA$93,$A$94:$H$94,0))*고양시_Modal_split!P$4 * 0.01</f>
        <v>31035.902651428758</v>
      </c>
      <c r="AO106" s="213">
        <f>INDEX($A$94:$H$106,MATCH($L106,$B$94:$B$106,0),MATCH($AO$93,$A$94:$H$94,0))*고양시_Modal_split!C$5 * 0.01</f>
        <v>1.0682717488814937</v>
      </c>
      <c r="AP106" s="213">
        <f>INDEX($A$94:$H$106,MATCH($L106,$B$94:$B$106,0),MATCH($AO$93,$A$94:$H$94,0))*고양시_Modal_split!D$5 * 0.01</f>
        <v>1304.7158959672643</v>
      </c>
      <c r="AQ106" s="213">
        <f>INDEX($A$94:$H$106,MATCH($L106,$B$94:$B$106,0),MATCH($AO$93,$A$94:$H$94,0))*고양시_Modal_split!E$5 * 0.01</f>
        <v>175.3746121080452</v>
      </c>
      <c r="AR106" s="213">
        <f>INDEX($A$94:$H$106,MATCH($L106,$B$94:$B$106,0),MATCH($AO$93,$A$94:$H$94,0))*고양시_Modal_split!F$5 * 0.01</f>
        <v>37.389511210852277</v>
      </c>
      <c r="AS106" s="213">
        <f>INDEX($A$94:$H$106,MATCH($L106,$B$94:$B$106,0),MATCH($AO$93,$A$94:$H$94,0))*고양시_Modal_split!G$5 * 0.01</f>
        <v>11.572943946216183</v>
      </c>
      <c r="AT106" s="213">
        <f>INDEX($A$94:$H$106,MATCH($L106,$B$94:$B$106,0),MATCH($AO$93,$A$94:$H$94,0))*고양시_Modal_split!H$5 * 0.01</f>
        <v>1.2463170403617425</v>
      </c>
      <c r="AU106" s="213">
        <f>INDEX($A$94:$H$106,MATCH($L106,$B$94:$B$106,0),MATCH($AO$93,$A$94:$H$94,0))*고양시_Modal_split!I$5 * 0.01</f>
        <v>49.318545740028959</v>
      </c>
      <c r="AV106" s="213">
        <f>INDEX($A$94:$H$106,MATCH($L106,$B$94:$B$106,0),MATCH($AO$93,$A$94:$H$94,0))*고양시_Modal_split!J$5 * 0.01</f>
        <v>111.63439775811611</v>
      </c>
      <c r="AW106" s="213">
        <f>INDEX($A$94:$H$106,MATCH($L106,$B$94:$B$106,0),MATCH($AO$93,$A$94:$H$94,0))*고양시_Modal_split!K$5 * 0.01</f>
        <v>0.35609058296049789</v>
      </c>
      <c r="AX106" s="213">
        <f>INDEX($A$94:$H$106,MATCH($L106,$B$94:$B$106,0),MATCH($AO$93,$A$94:$H$94,0))*고양시_Modal_split!L$5 * 0.01</f>
        <v>45.401549327463485</v>
      </c>
      <c r="AY106" s="213">
        <f>INDEX($A$94:$H$106,MATCH($L106,$B$94:$B$106,0),MATCH($AO$93,$A$94:$H$94,0))*고양시_Modal_split!M$5 * 0.01</f>
        <v>11.929034529176679</v>
      </c>
      <c r="AZ106" s="213">
        <f>INDEX($A$94:$H$106,MATCH($L106,$B$94:$B$106,0),MATCH($AO$93,$A$94:$H$94,0))*고양시_Modal_split!N$5 * 0.01</f>
        <v>3.026769955164232</v>
      </c>
      <c r="BA106" s="213">
        <f>INDEX($A$94:$H$106,MATCH($L106,$B$94:$B$106,0),MATCH($AO$93,$A$94:$H$94,0))*고양시_Modal_split!O$5 * 0.01</f>
        <v>27.418974887958338</v>
      </c>
      <c r="BB106" s="213">
        <f>INDEX($A$94:$H$106,MATCH($L106,$B$94:$B$106,0),MATCH($AO$93,$A$94:$H$94,0))*고양시_Modal_split!P$5 * 0.01</f>
        <v>1780.4529148024892</v>
      </c>
      <c r="BC106" s="215">
        <f>INDEX($A$94:$H$106,MATCH($L106,$B$94:$B$106,0),MATCH($BC$93,$A$94:$H$94,0))*고양시_Modal_split!C$6 * 0.01</f>
        <v>0</v>
      </c>
      <c r="BD106" s="216">
        <f>INDEX($A$94:$H$106,MATCH($L106,$B$94:$B$106,0),MATCH($BC$93,$A$94:$H$94,0))*고양시_Modal_split!D$6 * 0.01</f>
        <v>2.3170137120187695</v>
      </c>
      <c r="BE106" s="216">
        <f>INDEX($A$94:$H$106,MATCH($L106,$B$94:$B$106,0),MATCH($BC$93,$A$94:$H$94,0))*고양시_Modal_split!E$6 * 0.01</f>
        <v>1.203134761705194E-2</v>
      </c>
      <c r="BF106" s="216">
        <f>INDEX($A$94:$H$106,MATCH($L106,$B$94:$B$106,0),MATCH($BC$93,$A$94:$H$94,0))*고양시_Modal_split!F$6 * 0.01</f>
        <v>3.4135451378612479E-2</v>
      </c>
      <c r="BG106" s="216">
        <f>INDEX($A$94:$H$106,MATCH($L106,$B$94:$B$106,0),MATCH($BC$93,$A$94:$H$94,0))*고양시_Modal_split!G$6 * 0.01</f>
        <v>0</v>
      </c>
      <c r="BH106" s="216">
        <f>INDEX($A$94:$H$106,MATCH($L106,$B$94:$B$106,0),MATCH($BC$93,$A$94:$H$94,0))*고양시_Modal_split!H$6 * 0.01</f>
        <v>0.14857315313150188</v>
      </c>
      <c r="BI106" s="216">
        <f>INDEX($A$94:$H$106,MATCH($L106,$B$94:$B$106,0),MATCH($BC$93,$A$94:$H$94,0))*고양시_Modal_split!I$6 * 0.01</f>
        <v>9.9048768754334576E-2</v>
      </c>
      <c r="BJ106" s="216">
        <f>INDEX($A$94:$H$106,MATCH($L106,$B$94:$B$106,0),MATCH($BC$93,$A$94:$H$94,0))*고양시_Modal_split!J$6 * 0.01</f>
        <v>0.13822059820520133</v>
      </c>
      <c r="BK106" s="216">
        <f>INDEX($A$94:$H$106,MATCH($L106,$B$94:$B$106,0),MATCH($BC$93,$A$94:$H$94,0))*고양시_Modal_split!K$6 * 0.01</f>
        <v>0</v>
      </c>
      <c r="BL106" s="216">
        <f>INDEX($A$94:$H$106,MATCH($L106,$B$94:$B$106,0),MATCH($BC$93,$A$94:$H$94,0))*고양시_Modal_split!L$6 * 0.01</f>
        <v>2.1264707416184827E-2</v>
      </c>
      <c r="BM106" s="216">
        <f>INDEX($A$94:$H$106,MATCH($L106,$B$94:$B$106,0),MATCH($BC$93,$A$94:$H$94,0))*고양시_Modal_split!M$6 * 0.01</f>
        <v>2.5461689143063407E-2</v>
      </c>
      <c r="BN106" s="216">
        <f>INDEX($A$94:$H$106,MATCH($L106,$B$94:$B$106,0),MATCH($BC$93,$A$94:$H$94,0))*고양시_Modal_split!N$6 * 0.01</f>
        <v>0</v>
      </c>
      <c r="BO106" s="216">
        <f>INDEX($A$94:$H$106,MATCH($L106,$B$94:$B$106,0),MATCH($BC$93,$A$94:$H$94,0))*고양시_Modal_split!O$6 * 0.01</f>
        <v>2.2383902543352445E-3</v>
      </c>
      <c r="BP106" s="217">
        <f>INDEX($A$94:$H$106,MATCH($L106,$B$94:$B$106,0),MATCH($BC$93,$A$94:$H$94,0))*고양시_Modal_split!P$6 * 0.01</f>
        <v>2.797987817919056</v>
      </c>
      <c r="BQ106" s="213">
        <f>INDEX($A$94:$H$106,MATCH($L106,$B$94:$B$106,0),MATCH($BQ$93,$A$94:$H$94,0))*고양시_Modal_split!C$7 * 0.01</f>
        <v>0</v>
      </c>
      <c r="BR106" s="213">
        <f>INDEX($A$94:$H$106,MATCH($L106,$B$94:$B$106,0),MATCH($BQ$93,$A$94:$H$94,0))*고양시_Modal_split!D$7 * 0.01</f>
        <v>6.4774039759896747</v>
      </c>
      <c r="BS106" s="213">
        <f>INDEX($A$94:$H$106,MATCH($L106,$B$94:$B$106,0),MATCH($BQ$93,$A$94:$H$94,0))*고양시_Modal_split!E$7 * 0.01</f>
        <v>0.31604826841072331</v>
      </c>
      <c r="BT106" s="213">
        <f>INDEX($A$94:$H$106,MATCH($L106,$B$94:$B$106,0),MATCH($BQ$93,$A$94:$H$94,0))*고양시_Modal_split!F$7 * 0.01</f>
        <v>0.10570176201027537</v>
      </c>
      <c r="BU106" s="213">
        <f>INDEX($A$94:$H$106,MATCH($L106,$B$94:$B$106,0),MATCH($BQ$93,$A$94:$H$94,0))*고양시_Modal_split!G$7 * 0.01</f>
        <v>4.439474004431565E-2</v>
      </c>
      <c r="BV106" s="213">
        <f>INDEX($A$94:$H$106,MATCH($L106,$B$94:$B$106,0),MATCH($BQ$93,$A$94:$H$94,0))*고양시_Modal_split!H$7 * 0.01</f>
        <v>0.59087284963743925</v>
      </c>
      <c r="BW106" s="213">
        <f>INDEX($A$94:$H$106,MATCH($L106,$B$94:$B$106,0),MATCH($BQ$93,$A$94:$H$94,0))*고양시_Modal_split!I$7 * 0.01</f>
        <v>1.9734518967318411</v>
      </c>
      <c r="BX106" s="213">
        <f>INDEX($A$94:$H$106,MATCH($L106,$B$94:$B$106,0),MATCH($BQ$93,$A$94:$H$94,0))*고양시_Modal_split!J$7 * 0.01</f>
        <v>2.1140352402055076E-3</v>
      </c>
      <c r="BY106" s="213">
        <f>INDEX($A$94:$H$106,MATCH($L106,$B$94:$B$106,0),MATCH($BQ$93,$A$94:$H$94,0))*고양시_Modal_split!K$7 * 0.01</f>
        <v>0.81390356747912029</v>
      </c>
      <c r="BZ106" s="213">
        <f>INDEX($A$94:$H$106,MATCH($L106,$B$94:$B$106,0),MATCH($BQ$93,$A$94:$H$94,0))*고양시_Modal_split!L$7 * 0.01</f>
        <v>7.3991233407192745E-3</v>
      </c>
      <c r="CA106" s="213">
        <f>INDEX($A$94:$H$106,MATCH($L106,$B$94:$B$106,0),MATCH($BQ$93,$A$94:$H$94,0))*고양시_Modal_split!M$7 * 0.01</f>
        <v>0.19766229495921495</v>
      </c>
      <c r="CB106" s="213">
        <f>INDEX($A$94:$H$106,MATCH($L106,$B$94:$B$106,0),MATCH($BQ$93,$A$94:$H$94,0))*고양시_Modal_split!N$7 * 0.01</f>
        <v>4.1223687184007388E-2</v>
      </c>
      <c r="CC106" s="213">
        <f>INDEX($A$94:$H$106,MATCH($L106,$B$94:$B$106,0),MATCH($BQ$93,$A$94:$H$94,0))*고양시_Modal_split!O$7 * 0.01</f>
        <v>0</v>
      </c>
      <c r="CD106" s="213">
        <f>INDEX($A$94:$H$106,MATCH($L106,$B$94:$B$106,0),MATCH($BQ$93,$A$94:$H$94,0))*고양시_Modal_split!P$7 * 0.01</f>
        <v>10.570176201027536</v>
      </c>
      <c r="CE106" s="220">
        <f t="shared" si="58"/>
        <v>9460.4045102981363</v>
      </c>
      <c r="CF106" s="221">
        <f t="shared" si="39"/>
        <v>13283.550660031206</v>
      </c>
      <c r="CG106" s="221">
        <f t="shared" si="40"/>
        <v>2831.2013012229058</v>
      </c>
      <c r="CH106" s="221">
        <f t="shared" si="41"/>
        <v>725.61511374241752</v>
      </c>
      <c r="CI106" s="221">
        <f t="shared" si="42"/>
        <v>3685.374659661396</v>
      </c>
      <c r="CJ106" s="221">
        <f t="shared" si="43"/>
        <v>2.4146013093570775</v>
      </c>
      <c r="CK106" s="221">
        <f t="shared" si="44"/>
        <v>1250.6574966861731</v>
      </c>
      <c r="CL106" s="221">
        <f t="shared" si="45"/>
        <v>2878.9494296669986</v>
      </c>
      <c r="CM106" s="221">
        <f t="shared" si="46"/>
        <v>7.6025681438355237</v>
      </c>
      <c r="CN106" s="221">
        <f t="shared" si="47"/>
        <v>1608.7980720546002</v>
      </c>
      <c r="CO106" s="221">
        <f t="shared" si="48"/>
        <v>229.95598640105871</v>
      </c>
      <c r="CP106" s="221">
        <f t="shared" si="49"/>
        <v>783.25394259033123</v>
      </c>
      <c r="CQ106" s="221">
        <f t="shared" si="50"/>
        <v>370.32805070571834</v>
      </c>
      <c r="CR106" s="222">
        <f t="shared" si="51"/>
        <v>37118.106392514128</v>
      </c>
      <c r="CS106" s="225">
        <f t="shared" si="59"/>
        <v>0</v>
      </c>
      <c r="CV106" s="265"/>
      <c r="CW106" s="266" t="s">
        <v>26</v>
      </c>
      <c r="CX106" s="267">
        <f>INDEX($M$93:$Z$106,MATCH($CW106,$L$93:$L$106,0),MATCH(CX$94,$M$94:$Z$94,0))/INDEX(고양시_재차인원!$D$4:$H$35,MATCH("고양시",고양시_재차인원!$B$4:$B$35,0),MATCH('A.일산테크노밸리(859991)_수정'!$CX$93,고양시_재차인원!$D$4:$H$4,0))</f>
        <v>1800.7378268417231</v>
      </c>
      <c r="CY106" s="267">
        <f>INDEX($M$93:$Z$106,MATCH($CW106,$L$93:$L$106,0),MATCH(CY$94,$M$94:$Z$94,0))/INDEX(고양시_재차인원!$K$4:$O$20,MATCH("경기도",고양시_재차인원!$K$4:$K$20,0),MATCH('A.일산테크노밸리(859991)_수정'!CY$94,고양시_재차인원!$K$4:$O$4,0))</f>
        <v>1.4895389587578804E-2</v>
      </c>
      <c r="CZ106" s="267">
        <f>INDEX($M$93:$Z$106,MATCH($CW106,$L$93:$L$106,0),MATCH(CZ$94,$M$94:$Z$94,0))/INDEX(고양시_재차인원!$K$4:$O$20,MATCH("경기도",고양시_재차인원!$K$4:$K$20,0),MATCH('A.일산테크노밸리(859991)_수정'!CZ$94,고양시_재차인원!$K$4:$O$4,0))</f>
        <v>4.140918305346907</v>
      </c>
      <c r="DA106" s="267">
        <f>INDEX($M$93:$Z$106,MATCH($CW106,$L$93:$L$106,0),MATCH(DA$94,$M$94:$Z$94,0))/INDEX(고양시_재차인원!$K$4:$O$20,MATCH("경기도",고양시_재차인원!$K$4:$K$20,0),MATCH('A.일산테크노밸리(859991)_수정'!DA$94,고양시_재차인원!$K$4:$O$4,0))</f>
        <v>86.339437600247265</v>
      </c>
      <c r="DB106" s="272">
        <f>INDEX($AA$93:$AN$106,MATCH($CW106,$L$93:$L$106,0),MATCH(DB$94,$AA$94:$AN$94,0))/INDEX(고양시_재차인원!$D$4:$H$35,MATCH("고양시",고양시_재차인원!$B$4:$B$35,0),MATCH('A.일산테크노밸리(859991)_수정'!$DB$93,고양시_재차인원!$D$4:$H$4,0))</f>
        <v>7059.017007314329</v>
      </c>
      <c r="DC106" s="273">
        <f>INDEX($AA$93:$AN$106,MATCH($CW106,$L$93:$L$106,0),MATCH(DC$94,$AA$94:$AN$94,0))/INDEX(고양시_재차인원!$K$4:$O$20,MATCH("경기도",고양시_재차인원!$K$4:$K$20,0),MATCH('A.일산테크노밸리(859991)_수정'!DC$94,고양시_재차인원!$K$4:$O$4,0))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6" s="273">
        <f>INDEX($AA$93:$AN$106,MATCH($CW106,$L$93:$L$106,0),MATCH(DD$94,$AA$94:$AN$94,0))/INDEX(고양시_재차인원!$K$4:$O$20,MATCH("경기도",고양시_재차인원!$K$4:$K$20,0),MATCH('A.일산테크노밸리(859991)_수정'!DD$94,고양시_재차인원!$K$4:$O$4,0))</f>
        <v>37.514741655773562</v>
      </c>
      <c r="DE106" s="273">
        <f>INDEX($AA$93:$AN$106,MATCH($CW106,$L$93:$L$106,0),MATCH(DE$94,$AA$94:$AN$94,0))/INDEX(고양시_재차인원!$K$4:$O$20,MATCH("경기도",고양시_재차인원!$K$4:$K$20,0),MATCH('A.일산테크노밸리(859991)_수정'!DE$94,고양시_재차인원!$K$4:$O$4,0))</f>
        <v>955.90580166400593</v>
      </c>
      <c r="DF106" s="272">
        <f>INDEX($AO$93:$BB$106,MATCH($CW106,$L$93:$L$106,0),MATCH(DF$94,$AO$94:$BB$94,0))/INDEX(고양시_재차인원!$D$4:$H$35,MATCH("고양시",고양시_재차인원!$B$4:$B$35,0),MATCH('A.일산테크노밸리(859991)_수정'!$DF$93,고양시_재차인원!$D$4:$H$4,0))</f>
        <v>1003.6276122825109</v>
      </c>
      <c r="DG106" s="273">
        <f>INDEX($AO$93:$BB$106,MATCH($CW106,$L$93:$L$106,0),MATCH(DG$94,$AO$94:$BB$94,0))/INDEX(고양시_재차인원!$K$4:$O$20,MATCH("경기도",고양시_재차인원!$K$4:$K$20,0),MATCH('A.일산테크노밸리(859991)_수정'!DG$94,고양시_재차인원!$K$4:$O$4,0))</f>
        <v>4.328992845994243E-2</v>
      </c>
      <c r="DH106" s="273">
        <f>INDEX($AO$93:$BB$106,MATCH($CW106,$L$93:$L$106,0),MATCH(DH$94,$AO$94:$BB$94,0))/INDEX(고양시_재차인원!$K$4:$O$20,MATCH("경기도",고양시_재차인원!$K$4:$K$20,0),MATCH('A.일산테크노밸리(859991)_수정'!DH$94,고양시_재차인원!$K$4:$O$4,0))</f>
        <v>1.7130443119148648</v>
      </c>
      <c r="DI106" s="273">
        <f>INDEX($AO$93:$BB$106,MATCH($CW106,$L$93:$L$106,0),MATCH(DI$94,$AO$94:$BB$94,0))/INDEX(고양시_재차인원!$K$4:$O$20,MATCH("경기도",고양시_재차인원!$K$4:$K$20,0),MATCH('A.일산테크노밸리(859991)_수정'!DI$94,고양시_재차인원!$K$4:$O$4,0))</f>
        <v>30.267699551642323</v>
      </c>
      <c r="DJ106" s="272">
        <f>INDEX($BC$93:$BP$106,MATCH($CW106,$L$93:$L$106,0),MATCH(DJ$94,$BC$94:$BP$94,0))/INDEX(고양시_재차인원!$D$4:$H$35,MATCH("고양시",고양시_재차인원!$B$4:$B$35,0),MATCH('A.일산테크노밸리(859991)_수정'!$DJ$93,고양시_재차인원!$D$4:$H$4,0))</f>
        <v>1.7036865529549774</v>
      </c>
      <c r="DK106" s="273">
        <f>INDEX($BC$93:$BP$106,MATCH($CW106,$L$93:$L$106,0),MATCH(DK$94,$BC$94:$BP$94,0))/INDEX(고양시_재차인원!$K$4:$O$20,MATCH("경기도",고양시_재차인원!$K$4:$K$20,0),MATCH('A.일산테크노밸리(859991)_수정'!DK$94,고양시_재차인원!$K$4:$O$4,0))</f>
        <v>5.1605819080063177E-3</v>
      </c>
      <c r="DL106" s="273">
        <f>INDEX($BC$93:$BP$106,MATCH($CW106,$L$93:$L$106,0),MATCH(DL$94,$BC$94:$BP$94,0))/INDEX(고양시_재차인원!$K$4:$O$20,MATCH("경기도",고양시_재차인원!$K$4:$K$20,0),MATCH('A.일산테크노밸리(859991)_수정'!DL$94,고양시_재차인원!$K$4:$O$4,0))</f>
        <v>3.4403879386708781E-3</v>
      </c>
      <c r="DM106" s="273">
        <f>INDEX($BC$93:$BP$106,MATCH($CW106,$L$93:$L$106,0),MATCH(DM$94,$BC$94:$BP$94,0))/INDEX(고양시_재차인원!$K$4:$O$20,MATCH("경기도",고양시_재차인원!$K$4:$K$20,0),MATCH('A.일산테크노밸리(859991)_수정'!DM$94,고양시_재차인원!$K$4:$O$4,0))</f>
        <v>1.4176471610789885E-2</v>
      </c>
      <c r="DN106" s="272">
        <f>INDEX($BQ$93:$CD$106,MATCH($CW106,$L$93:$L$106,0),MATCH(DN$94,$BQ$94:$CD$94,0))/INDEX(고양시_재차인원!$D$4:$H$35,MATCH("고양시",고양시_재차인원!$B$4:$B$35,0),MATCH('A.일산테크노밸리(859991)_수정'!$DN$93,고양시_재차인원!$D$4:$H$4,0))</f>
        <v>5.1407968063410117</v>
      </c>
      <c r="DO106" s="273">
        <f>INDEX($BQ$93:$CD$106,MATCH($CW106,$L$93:$L$106,0),MATCH(DO$94,$BQ$94:$CD$94,0))/INDEX(고양시_재차인원!$K$4:$O$20,MATCH("경기도",고양시_재차인원!$K$4:$K$20,0),MATCH('A.일산테크노밸리(859991)_수정'!DO$94,고양시_재차인원!$K$4:$O$4,0))</f>
        <v>2.0523544620960031E-2</v>
      </c>
      <c r="DP106" s="273">
        <f>INDEX($BQ$93:$CD$106,MATCH($CW106,$L$93:$L$106,0),MATCH(DP$94,$BQ$94:$CD$94,0))/INDEX(고양시_재차인원!$K$4:$O$20,MATCH("경기도",고양시_재차인원!$K$4:$K$20,0),MATCH('A.일산테크노밸리(859991)_수정'!DP$94,고양시_재차인원!$K$4:$O$4,0))</f>
        <v>6.8546436149074019E-2</v>
      </c>
      <c r="DQ106" s="273">
        <f>INDEX($BQ$93:$CD$106,MATCH($CW106,$L$93:$L$106,0),MATCH(DQ$94,$BQ$94:$CD$94,0))/INDEX(고양시_재차인원!$K$4:$O$20,MATCH("경기도",고양시_재차인원!$K$4:$K$20,0),MATCH('A.일산테크노밸리(859991)_수정'!DQ$94,고양시_재차인원!$K$4:$O$4,0))</f>
        <v>4.9327488938128499E-3</v>
      </c>
      <c r="DR106" s="274">
        <f t="shared" si="60"/>
        <v>9870.2269297978601</v>
      </c>
      <c r="DS106" s="275">
        <f t="shared" si="52"/>
        <v>8.3869444576487595E-2</v>
      </c>
      <c r="DT106" s="275">
        <f t="shared" si="53"/>
        <v>43.440691097123086</v>
      </c>
      <c r="DU106" s="275">
        <f t="shared" si="54"/>
        <v>1072.5320480364003</v>
      </c>
      <c r="EC106" s="412" t="s">
        <v>15</v>
      </c>
      <c r="ED106" s="412" t="s">
        <v>90</v>
      </c>
      <c r="EE106" s="412">
        <v>9730.2787000000008</v>
      </c>
      <c r="EF106" s="412">
        <v>4.519121097940456E-2</v>
      </c>
      <c r="EG106" s="413">
        <v>859013</v>
      </c>
      <c r="EH106" s="414">
        <f t="shared" si="55"/>
        <v>339.46274013814127</v>
      </c>
      <c r="EI106" s="415">
        <f t="shared" si="56"/>
        <v>1.3502048811202048</v>
      </c>
      <c r="EJ106" s="402">
        <v>0</v>
      </c>
      <c r="EM106" s="278" t="s">
        <v>15</v>
      </c>
      <c r="EN106" s="278" t="s">
        <v>90</v>
      </c>
      <c r="EO106" s="278">
        <v>9730.2787000000008</v>
      </c>
      <c r="EP106" s="278">
        <v>4.519121097940456E-2</v>
      </c>
      <c r="EQ106" s="289">
        <v>859013</v>
      </c>
      <c r="ER106" s="290">
        <f t="shared" si="37"/>
        <v>339.46274013814127</v>
      </c>
      <c r="ES106" s="291">
        <f t="shared" si="38"/>
        <v>1.3502048811202048</v>
      </c>
      <c r="ET106" s="402">
        <v>0</v>
      </c>
      <c r="EV106" s="34"/>
      <c r="EW106" s="34"/>
      <c r="EX106" s="34"/>
      <c r="EY106" s="34"/>
      <c r="EZ106" s="378"/>
      <c r="FA106" s="401"/>
      <c r="FB106" s="402"/>
      <c r="FC106" s="402"/>
    </row>
    <row r="107" spans="1:159" ht="16.5" customHeight="1">
      <c r="J107" s="230"/>
      <c r="EC107" s="412" t="s">
        <v>15</v>
      </c>
      <c r="ED107" s="412" t="s">
        <v>91</v>
      </c>
      <c r="EE107" s="412">
        <v>11598.4503</v>
      </c>
      <c r="EF107" s="412">
        <v>5.386772883919945E-2</v>
      </c>
      <c r="EG107" s="413">
        <v>859014</v>
      </c>
      <c r="EH107" s="414">
        <f t="shared" si="55"/>
        <v>404.63812410574087</v>
      </c>
      <c r="EI107" s="415">
        <f t="shared" si="56"/>
        <v>1.6094384026728961</v>
      </c>
      <c r="EJ107" s="402">
        <v>0</v>
      </c>
      <c r="EM107" s="278" t="s">
        <v>15</v>
      </c>
      <c r="EN107" s="278" t="s">
        <v>91</v>
      </c>
      <c r="EO107" s="278">
        <v>11598.4503</v>
      </c>
      <c r="EP107" s="278">
        <v>5.386772883919945E-2</v>
      </c>
      <c r="EQ107" s="289">
        <v>859014</v>
      </c>
      <c r="ER107" s="290">
        <f t="shared" si="37"/>
        <v>404.63812410574087</v>
      </c>
      <c r="ES107" s="291">
        <f t="shared" si="38"/>
        <v>1.6094384026728961</v>
      </c>
      <c r="ET107" s="402">
        <v>0</v>
      </c>
      <c r="EV107" s="34"/>
      <c r="EW107" s="34"/>
      <c r="EX107" s="34"/>
      <c r="EY107" s="34"/>
      <c r="EZ107" s="378"/>
      <c r="FA107" s="401"/>
      <c r="FB107" s="402"/>
      <c r="FC107" s="402"/>
    </row>
    <row r="108" spans="1:159">
      <c r="EC108" s="412" t="s">
        <v>15</v>
      </c>
      <c r="ED108" s="412" t="s">
        <v>92</v>
      </c>
      <c r="EE108" s="412">
        <v>20670.0766</v>
      </c>
      <c r="EF108" s="412">
        <v>9.5999901070773372E-2</v>
      </c>
      <c r="EG108" s="413">
        <v>859015</v>
      </c>
      <c r="EH108" s="414">
        <f t="shared" si="55"/>
        <v>721.12228825483442</v>
      </c>
      <c r="EI108" s="415">
        <f t="shared" si="56"/>
        <v>2.8682465506818966</v>
      </c>
      <c r="EJ108" s="402">
        <v>0</v>
      </c>
      <c r="EM108" s="278" t="s">
        <v>15</v>
      </c>
      <c r="EN108" s="278" t="s">
        <v>92</v>
      </c>
      <c r="EO108" s="278">
        <v>20670.0766</v>
      </c>
      <c r="EP108" s="278">
        <v>9.5999901070773372E-2</v>
      </c>
      <c r="EQ108" s="289">
        <v>859015</v>
      </c>
      <c r="ER108" s="290">
        <f t="shared" si="37"/>
        <v>721.12228825483442</v>
      </c>
      <c r="ES108" s="291">
        <f t="shared" si="38"/>
        <v>2.8682465506818966</v>
      </c>
      <c r="ET108" s="402">
        <v>0</v>
      </c>
      <c r="EV108" s="34"/>
      <c r="EW108" s="34"/>
      <c r="EX108" s="34"/>
      <c r="EY108" s="34"/>
      <c r="EZ108" s="378"/>
      <c r="FA108" s="401"/>
      <c r="FB108" s="402"/>
      <c r="FC108" s="402"/>
    </row>
    <row r="109" spans="1:159" ht="16.5" customHeight="1">
      <c r="EC109" s="412" t="s">
        <v>15</v>
      </c>
      <c r="ED109" s="412" t="s">
        <v>93</v>
      </c>
      <c r="EE109" s="412">
        <v>6590.8657999999996</v>
      </c>
      <c r="EF109" s="412">
        <v>3.061055249165083E-2</v>
      </c>
      <c r="EG109" s="413">
        <v>859016</v>
      </c>
      <c r="EH109" s="414">
        <f t="shared" si="55"/>
        <v>229.93723338579835</v>
      </c>
      <c r="EI109" s="415">
        <f t="shared" si="56"/>
        <v>0.91456981329509335</v>
      </c>
      <c r="EJ109" s="402">
        <v>0</v>
      </c>
      <c r="EM109" s="278" t="s">
        <v>15</v>
      </c>
      <c r="EN109" s="278" t="s">
        <v>93</v>
      </c>
      <c r="EO109" s="278">
        <v>6590.8657999999996</v>
      </c>
      <c r="EP109" s="278">
        <v>3.061055249165083E-2</v>
      </c>
      <c r="EQ109" s="289">
        <v>859016</v>
      </c>
      <c r="ER109" s="290">
        <f t="shared" si="37"/>
        <v>229.93723338579835</v>
      </c>
      <c r="ES109" s="291">
        <f t="shared" si="38"/>
        <v>0.91456981329509335</v>
      </c>
      <c r="ET109" s="402">
        <v>0</v>
      </c>
      <c r="EV109" s="34"/>
      <c r="EW109" s="34"/>
      <c r="EX109" s="34"/>
      <c r="EY109" s="34"/>
      <c r="EZ109" s="378"/>
      <c r="FA109" s="401"/>
      <c r="FB109" s="402"/>
      <c r="FC109" s="402"/>
    </row>
    <row r="110" spans="1:159">
      <c r="EC110" s="412" t="s">
        <v>15</v>
      </c>
      <c r="ED110" s="412" t="s">
        <v>94</v>
      </c>
      <c r="EE110" s="412">
        <v>3970.3760000000002</v>
      </c>
      <c r="EF110" s="412">
        <v>1.843997536098985E-2</v>
      </c>
      <c r="EG110" s="413">
        <v>859017</v>
      </c>
      <c r="EH110" s="414">
        <f t="shared" si="55"/>
        <v>138.51553053035499</v>
      </c>
      <c r="EI110" s="415">
        <f t="shared" si="56"/>
        <v>0.55094218987607357</v>
      </c>
      <c r="EJ110" s="402">
        <v>0</v>
      </c>
      <c r="EM110" s="278" t="s">
        <v>15</v>
      </c>
      <c r="EN110" s="278" t="s">
        <v>94</v>
      </c>
      <c r="EO110" s="278">
        <v>3970.3760000000002</v>
      </c>
      <c r="EP110" s="278">
        <v>1.843997536098985E-2</v>
      </c>
      <c r="EQ110" s="289">
        <v>859017</v>
      </c>
      <c r="ER110" s="290">
        <f t="shared" si="37"/>
        <v>138.51553053035499</v>
      </c>
      <c r="ES110" s="291">
        <f t="shared" si="38"/>
        <v>0.55094218987607357</v>
      </c>
      <c r="ET110" s="402">
        <v>0</v>
      </c>
      <c r="EV110" s="34"/>
      <c r="EW110" s="34"/>
      <c r="EX110" s="34"/>
      <c r="EY110" s="34"/>
      <c r="EZ110" s="378"/>
      <c r="FA110" s="401"/>
      <c r="FB110" s="402"/>
      <c r="FC110" s="402"/>
    </row>
    <row r="111" spans="1:159" ht="16.5" customHeight="1">
      <c r="EC111" s="412" t="s">
        <v>15</v>
      </c>
      <c r="ED111" s="412" t="s">
        <v>95</v>
      </c>
      <c r="EE111" s="412">
        <v>14487.1335</v>
      </c>
      <c r="EF111" s="412">
        <v>6.7283900766922491E-2</v>
      </c>
      <c r="EG111" s="413">
        <v>859018</v>
      </c>
      <c r="EH111" s="414">
        <f t="shared" si="55"/>
        <v>505.41635921045724</v>
      </c>
      <c r="EI111" s="415">
        <f t="shared" si="56"/>
        <v>2.0102814079868065</v>
      </c>
      <c r="EJ111" s="402">
        <v>0</v>
      </c>
      <c r="EM111" s="278" t="s">
        <v>15</v>
      </c>
      <c r="EN111" s="278" t="s">
        <v>95</v>
      </c>
      <c r="EO111" s="278">
        <v>14487.1335</v>
      </c>
      <c r="EP111" s="278">
        <v>6.7283900766922491E-2</v>
      </c>
      <c r="EQ111" s="289">
        <v>859018</v>
      </c>
      <c r="ER111" s="290">
        <f t="shared" si="37"/>
        <v>505.41635921045724</v>
      </c>
      <c r="ES111" s="291">
        <f t="shared" si="38"/>
        <v>2.0102814079868065</v>
      </c>
      <c r="ET111" s="402">
        <v>0</v>
      </c>
      <c r="EV111" s="34"/>
      <c r="EW111" s="34"/>
      <c r="EX111" s="34"/>
      <c r="EY111" s="34"/>
      <c r="EZ111" s="378"/>
      <c r="FA111" s="401"/>
      <c r="FB111" s="402"/>
      <c r="FC111" s="402"/>
    </row>
    <row r="112" spans="1:159">
      <c r="AP112" t="s">
        <v>147</v>
      </c>
      <c r="AQ112" t="s">
        <v>148</v>
      </c>
      <c r="AR112" s="32" t="s">
        <v>74</v>
      </c>
      <c r="AS112" t="s">
        <v>563</v>
      </c>
      <c r="EC112" s="412" t="s">
        <v>15</v>
      </c>
      <c r="ED112" s="412" t="s">
        <v>96</v>
      </c>
      <c r="EE112" s="412">
        <v>7440.5132000000003</v>
      </c>
      <c r="EF112" s="412">
        <v>3.4556646544589169E-2</v>
      </c>
      <c r="EG112" s="413">
        <v>859019</v>
      </c>
      <c r="EH112" s="414">
        <f t="shared" si="55"/>
        <v>259.57910115216021</v>
      </c>
      <c r="EI112" s="415">
        <f t="shared" si="56"/>
        <v>1.0324696291257633</v>
      </c>
      <c r="EJ112" s="402">
        <v>0</v>
      </c>
      <c r="EM112" s="278" t="s">
        <v>15</v>
      </c>
      <c r="EN112" s="278" t="s">
        <v>96</v>
      </c>
      <c r="EO112" s="278">
        <v>7440.5132000000003</v>
      </c>
      <c r="EP112" s="278">
        <v>3.4556646544589169E-2</v>
      </c>
      <c r="EQ112" s="289">
        <v>859019</v>
      </c>
      <c r="ER112" s="290">
        <f t="shared" si="37"/>
        <v>259.57910115216021</v>
      </c>
      <c r="ES112" s="291">
        <f t="shared" si="38"/>
        <v>1.0324696291257633</v>
      </c>
      <c r="ET112" s="402">
        <v>0</v>
      </c>
      <c r="EV112" s="34"/>
      <c r="EW112" s="34"/>
      <c r="EX112" s="34"/>
      <c r="EY112" s="34"/>
      <c r="EZ112" s="378"/>
      <c r="FA112" s="401"/>
      <c r="FB112" s="402"/>
      <c r="FC112" s="402"/>
    </row>
    <row r="113" spans="32:159">
      <c r="AP113" t="s">
        <v>12</v>
      </c>
      <c r="AQ113" t="s">
        <v>73</v>
      </c>
      <c r="AR113" s="75">
        <v>11477.778199999999</v>
      </c>
      <c r="AS113" s="277">
        <f>AR113/SUMIF($AP$113:$AP$157,"="&amp;$AP113,$AR$113:$AR$157)</f>
        <v>1</v>
      </c>
      <c r="EC113" s="412" t="s">
        <v>15</v>
      </c>
      <c r="ED113" s="412" t="s">
        <v>97</v>
      </c>
      <c r="EE113" s="412">
        <v>20150.029900000001</v>
      </c>
      <c r="EF113" s="412">
        <v>9.3584601276858623E-2</v>
      </c>
      <c r="EG113" s="413">
        <v>859020</v>
      </c>
      <c r="EH113" s="414">
        <f t="shared" si="55"/>
        <v>702.97928503522485</v>
      </c>
      <c r="EI113" s="415">
        <f t="shared" si="56"/>
        <v>2.796083191912897</v>
      </c>
      <c r="EJ113" s="402">
        <v>0</v>
      </c>
      <c r="EM113" s="278" t="s">
        <v>15</v>
      </c>
      <c r="EN113" s="278" t="s">
        <v>97</v>
      </c>
      <c r="EO113" s="278">
        <v>20150.029900000001</v>
      </c>
      <c r="EP113" s="278">
        <v>9.3584601276858623E-2</v>
      </c>
      <c r="EQ113" s="289">
        <v>859020</v>
      </c>
      <c r="ER113" s="290">
        <f t="shared" si="37"/>
        <v>702.97928503522485</v>
      </c>
      <c r="ES113" s="291">
        <f t="shared" si="38"/>
        <v>2.796083191912897</v>
      </c>
      <c r="ET113" s="402">
        <v>0</v>
      </c>
      <c r="EV113" s="34"/>
      <c r="EW113" s="34"/>
      <c r="EX113" s="34"/>
      <c r="EY113" s="34"/>
      <c r="EZ113" s="378"/>
      <c r="FA113" s="401"/>
      <c r="FB113" s="402"/>
      <c r="FC113" s="402"/>
    </row>
    <row r="114" spans="32:159">
      <c r="AP114" t="s">
        <v>13</v>
      </c>
      <c r="AQ114" t="s">
        <v>75</v>
      </c>
      <c r="AR114" s="75">
        <v>907.24059999999997</v>
      </c>
      <c r="AS114" s="277">
        <f t="shared" ref="AS114:AS157" si="63">AR114/SUMIF($AP$113:$AP$157,"="&amp;$AP114,$AR$113:$AR$157)</f>
        <v>0.22444210067316503</v>
      </c>
      <c r="EC114" s="412" t="s">
        <v>15</v>
      </c>
      <c r="ED114" s="412" t="s">
        <v>98</v>
      </c>
      <c r="EE114" s="412">
        <v>8631.4781000000003</v>
      </c>
      <c r="EF114" s="412">
        <v>4.0087952247576428E-2</v>
      </c>
      <c r="EG114" s="413">
        <v>859021</v>
      </c>
      <c r="EH114" s="414">
        <f t="shared" si="55"/>
        <v>301.12860048585844</v>
      </c>
      <c r="EI114" s="415">
        <f t="shared" si="56"/>
        <v>1.1977317630071738</v>
      </c>
      <c r="EJ114" s="402">
        <v>0</v>
      </c>
      <c r="EM114" s="278" t="s">
        <v>15</v>
      </c>
      <c r="EN114" s="278" t="s">
        <v>98</v>
      </c>
      <c r="EO114" s="278">
        <v>8631.4781000000003</v>
      </c>
      <c r="EP114" s="278">
        <v>4.0087952247576428E-2</v>
      </c>
      <c r="EQ114" s="289">
        <v>859021</v>
      </c>
      <c r="ER114" s="290">
        <f t="shared" si="37"/>
        <v>301.12860048585844</v>
      </c>
      <c r="ES114" s="291">
        <f t="shared" si="38"/>
        <v>1.1977317630071738</v>
      </c>
      <c r="ET114" s="402">
        <v>0</v>
      </c>
      <c r="EV114" s="34"/>
      <c r="EW114" s="34"/>
      <c r="EX114" s="34"/>
      <c r="EY114" s="34"/>
      <c r="EZ114" s="378"/>
      <c r="FA114" s="401"/>
      <c r="FB114" s="402"/>
      <c r="FC114" s="402"/>
    </row>
    <row r="115" spans="32:159" ht="17.25" customHeight="1">
      <c r="AP115" t="s">
        <v>13</v>
      </c>
      <c r="AQ115" t="s">
        <v>77</v>
      </c>
      <c r="AR115" s="75">
        <v>3134.9627</v>
      </c>
      <c r="AS115" s="277">
        <f t="shared" si="63"/>
        <v>0.77555789932683494</v>
      </c>
      <c r="EC115" s="412" t="s">
        <v>15</v>
      </c>
      <c r="ED115" s="412" t="s">
        <v>99</v>
      </c>
      <c r="EE115" s="412">
        <v>11977.777099999999</v>
      </c>
      <c r="EF115" s="412">
        <v>5.56294705094501E-2</v>
      </c>
      <c r="EG115" s="413">
        <v>859022</v>
      </c>
      <c r="EH115" s="414">
        <f t="shared" si="55"/>
        <v>417.87179591576131</v>
      </c>
      <c r="EI115" s="415">
        <f t="shared" si="56"/>
        <v>1.6620750138831901</v>
      </c>
      <c r="EJ115" s="402">
        <v>0</v>
      </c>
      <c r="EM115" s="278" t="s">
        <v>15</v>
      </c>
      <c r="EN115" s="278" t="s">
        <v>99</v>
      </c>
      <c r="EO115" s="278">
        <v>11977.777099999999</v>
      </c>
      <c r="EP115" s="278">
        <v>5.56294705094501E-2</v>
      </c>
      <c r="EQ115" s="289">
        <v>859022</v>
      </c>
      <c r="ER115" s="290">
        <f t="shared" si="37"/>
        <v>417.87179591576131</v>
      </c>
      <c r="ES115" s="291">
        <f t="shared" si="38"/>
        <v>1.6620750138831901</v>
      </c>
      <c r="ET115" s="402">
        <v>0</v>
      </c>
      <c r="EV115" s="34"/>
      <c r="EW115" s="34"/>
      <c r="EX115" s="34"/>
      <c r="EY115" s="34"/>
      <c r="EZ115" s="378"/>
      <c r="FA115" s="401"/>
      <c r="FB115" s="402"/>
      <c r="FC115" s="402"/>
    </row>
    <row r="116" spans="32:159" ht="17.5" thickBot="1">
      <c r="AF116" s="8">
        <v>6288</v>
      </c>
      <c r="AG116" s="8">
        <v>5368</v>
      </c>
      <c r="AH116" s="8">
        <v>6892</v>
      </c>
      <c r="AI116" s="8">
        <v>1592</v>
      </c>
      <c r="AJ116" s="8">
        <v>1224</v>
      </c>
      <c r="AK116" s="8">
        <v>4076</v>
      </c>
      <c r="AL116" s="8">
        <v>2182</v>
      </c>
      <c r="AM116" s="9">
        <v>688</v>
      </c>
      <c r="AN116" s="17">
        <v>82104</v>
      </c>
      <c r="AP116" t="s">
        <v>137</v>
      </c>
      <c r="AQ116" t="s">
        <v>78</v>
      </c>
      <c r="AR116" s="75">
        <v>5454.9395000000004</v>
      </c>
      <c r="AS116" s="277">
        <f t="shared" si="63"/>
        <v>0.43129277327301779</v>
      </c>
      <c r="EC116" s="412" t="s">
        <v>15</v>
      </c>
      <c r="ED116" s="412" t="s">
        <v>100</v>
      </c>
      <c r="EE116" s="412">
        <v>5754.1068999999998</v>
      </c>
      <c r="EF116" s="412">
        <v>2.672431766172818E-2</v>
      </c>
      <c r="EG116" s="413">
        <v>859023</v>
      </c>
      <c r="EH116" s="414">
        <f t="shared" si="55"/>
        <v>200.745010039824</v>
      </c>
      <c r="EI116" s="415">
        <f t="shared" si="56"/>
        <v>0.7984584473276648</v>
      </c>
      <c r="EJ116" s="402">
        <v>0</v>
      </c>
      <c r="EM116" s="278" t="s">
        <v>15</v>
      </c>
      <c r="EN116" s="278" t="s">
        <v>100</v>
      </c>
      <c r="EO116" s="278">
        <v>5754.1068999999998</v>
      </c>
      <c r="EP116" s="278">
        <v>2.672431766172818E-2</v>
      </c>
      <c r="EQ116" s="289">
        <v>859023</v>
      </c>
      <c r="ER116" s="290">
        <f t="shared" si="37"/>
        <v>200.745010039824</v>
      </c>
      <c r="ES116" s="291">
        <f t="shared" si="38"/>
        <v>0.7984584473276648</v>
      </c>
      <c r="ET116" s="402">
        <v>0</v>
      </c>
      <c r="EV116" s="34"/>
      <c r="EW116" s="34"/>
      <c r="EX116" s="34"/>
      <c r="EY116" s="34"/>
      <c r="EZ116" s="378"/>
      <c r="FA116" s="401"/>
      <c r="FB116" s="402"/>
      <c r="FC116" s="402"/>
    </row>
    <row r="117" spans="32:159" ht="18" customHeight="1" thickTop="1" thickBot="1">
      <c r="AF117" s="8">
        <v>1156</v>
      </c>
      <c r="AG117" s="8">
        <v>1380</v>
      </c>
      <c r="AH117" s="8">
        <v>18740</v>
      </c>
      <c r="AI117" s="8">
        <v>8902</v>
      </c>
      <c r="AJ117" s="8">
        <v>7994</v>
      </c>
      <c r="AK117" s="8">
        <v>1844</v>
      </c>
      <c r="AL117" s="8">
        <v>5728</v>
      </c>
      <c r="AM117" s="8">
        <v>4500</v>
      </c>
      <c r="AN117" s="17">
        <v>71140</v>
      </c>
      <c r="AP117" t="s">
        <v>14</v>
      </c>
      <c r="AQ117" t="s">
        <v>80</v>
      </c>
      <c r="AR117" s="75">
        <v>7192.9411</v>
      </c>
      <c r="AS117" s="277">
        <f t="shared" si="63"/>
        <v>0.56870722672698226</v>
      </c>
      <c r="EC117" s="412" t="s">
        <v>15</v>
      </c>
      <c r="ED117" s="412" t="s">
        <v>101</v>
      </c>
      <c r="EE117" s="412">
        <v>6005.2467999999999</v>
      </c>
      <c r="EF117" s="412">
        <v>2.7890709350616452E-2</v>
      </c>
      <c r="EG117" s="413">
        <v>859024</v>
      </c>
      <c r="EH117" s="414">
        <f t="shared" si="55"/>
        <v>209.50659244054381</v>
      </c>
      <c r="EI117" s="415">
        <f t="shared" si="56"/>
        <v>0.83330743051496459</v>
      </c>
      <c r="EJ117" s="402">
        <v>0</v>
      </c>
      <c r="EM117" s="278" t="s">
        <v>15</v>
      </c>
      <c r="EN117" s="278" t="s">
        <v>101</v>
      </c>
      <c r="EO117" s="278">
        <v>6005.2467999999999</v>
      </c>
      <c r="EP117" s="278">
        <v>2.7890709350616452E-2</v>
      </c>
      <c r="EQ117" s="289">
        <v>859024</v>
      </c>
      <c r="ER117" s="290">
        <f t="shared" si="37"/>
        <v>209.50659244054381</v>
      </c>
      <c r="ES117" s="291">
        <f t="shared" si="38"/>
        <v>0.83330743051496459</v>
      </c>
      <c r="ET117" s="402">
        <v>0</v>
      </c>
      <c r="EV117" s="34"/>
      <c r="EW117" s="34"/>
      <c r="EX117" s="34"/>
      <c r="EY117" s="34"/>
      <c r="EZ117" s="378"/>
      <c r="FA117" s="401"/>
      <c r="FB117" s="402"/>
      <c r="FC117" s="402"/>
    </row>
    <row r="118" spans="32:159" ht="18" thickTop="1" thickBot="1">
      <c r="AF118" s="8">
        <v>7444</v>
      </c>
      <c r="AG118" s="8">
        <v>6748</v>
      </c>
      <c r="AH118" s="8">
        <v>25632</v>
      </c>
      <c r="AI118" s="8">
        <v>10494</v>
      </c>
      <c r="AJ118" s="8">
        <v>9218</v>
      </c>
      <c r="AK118" s="8">
        <v>5920</v>
      </c>
      <c r="AL118" s="8">
        <v>7910</v>
      </c>
      <c r="AM118" s="8">
        <v>5188</v>
      </c>
      <c r="AN118" s="17">
        <v>153244</v>
      </c>
      <c r="AP118" t="s">
        <v>139</v>
      </c>
      <c r="AQ118" t="s">
        <v>85</v>
      </c>
      <c r="AR118" s="75">
        <v>24085.599100000003</v>
      </c>
      <c r="AS118" s="277">
        <f t="shared" si="63"/>
        <v>0.11186292027724311</v>
      </c>
      <c r="EC118" s="412" t="s">
        <v>16</v>
      </c>
      <c r="ED118" s="412" t="s">
        <v>575</v>
      </c>
      <c r="EE118" s="412">
        <v>10596.0813</v>
      </c>
      <c r="EF118" s="412">
        <v>0.3566329663552395</v>
      </c>
      <c r="EG118" s="413">
        <v>859025</v>
      </c>
      <c r="EH118" s="414">
        <f t="shared" si="55"/>
        <v>290.36170750428784</v>
      </c>
      <c r="EI118" s="415">
        <f t="shared" si="56"/>
        <v>1.1549067052341189</v>
      </c>
      <c r="EJ118" s="402">
        <v>0</v>
      </c>
      <c r="EM118" s="278" t="s">
        <v>16</v>
      </c>
      <c r="EN118" s="278" t="s">
        <v>575</v>
      </c>
      <c r="EO118" s="278">
        <v>10596.0813</v>
      </c>
      <c r="EP118" s="278">
        <v>0.3566329663552395</v>
      </c>
      <c r="EQ118" s="289">
        <v>859025</v>
      </c>
      <c r="ER118" s="290">
        <f t="shared" si="37"/>
        <v>290.36170750428784</v>
      </c>
      <c r="ES118" s="291">
        <f t="shared" si="38"/>
        <v>1.1549067052341189</v>
      </c>
      <c r="ET118" s="402">
        <v>0</v>
      </c>
      <c r="EV118" s="34"/>
      <c r="EW118" s="34"/>
      <c r="EX118" s="34"/>
      <c r="EY118" s="34"/>
      <c r="EZ118" s="378"/>
      <c r="FA118" s="401"/>
      <c r="FB118" s="402"/>
      <c r="FC118" s="402"/>
    </row>
    <row r="119" spans="32:159" ht="18" thickTop="1" thickBot="1">
      <c r="AF119" s="8">
        <v>6184</v>
      </c>
      <c r="AG119" s="8">
        <v>5280</v>
      </c>
      <c r="AH119" s="8">
        <v>6780</v>
      </c>
      <c r="AI119" s="8">
        <v>1566</v>
      </c>
      <c r="AJ119" s="8">
        <v>1204</v>
      </c>
      <c r="AK119" s="8">
        <v>4010</v>
      </c>
      <c r="AL119" s="8">
        <v>2146</v>
      </c>
      <c r="AM119" s="9">
        <v>676</v>
      </c>
      <c r="AN119" s="17">
        <v>80762</v>
      </c>
      <c r="AP119" t="s">
        <v>15</v>
      </c>
      <c r="AQ119" t="s">
        <v>81</v>
      </c>
      <c r="AR119" s="75">
        <v>10713.892900000001</v>
      </c>
      <c r="AS119" s="277">
        <f t="shared" si="63"/>
        <v>4.9759499124587728E-2</v>
      </c>
      <c r="EC119" s="412" t="s">
        <v>16</v>
      </c>
      <c r="ED119" s="412" t="s">
        <v>576</v>
      </c>
      <c r="EE119" s="412">
        <v>10127.7948</v>
      </c>
      <c r="EF119" s="412">
        <v>0.34087181854306553</v>
      </c>
      <c r="EG119" s="413">
        <v>859026</v>
      </c>
      <c r="EH119" s="414">
        <f t="shared" si="55"/>
        <v>277.5293722388717</v>
      </c>
      <c r="EI119" s="415">
        <f t="shared" si="56"/>
        <v>1.1038664004734697</v>
      </c>
      <c r="EJ119" s="402">
        <v>0</v>
      </c>
      <c r="EM119" s="278" t="s">
        <v>16</v>
      </c>
      <c r="EN119" s="278" t="s">
        <v>576</v>
      </c>
      <c r="EO119" s="278">
        <v>10127.7948</v>
      </c>
      <c r="EP119" s="278">
        <v>0.34087181854306553</v>
      </c>
      <c r="EQ119" s="289">
        <v>859026</v>
      </c>
      <c r="ER119" s="290">
        <f t="shared" si="37"/>
        <v>277.5293722388717</v>
      </c>
      <c r="ES119" s="291">
        <f t="shared" si="38"/>
        <v>1.1038664004734697</v>
      </c>
      <c r="ET119" s="402">
        <v>0</v>
      </c>
      <c r="EV119" s="34"/>
      <c r="EW119" s="34"/>
      <c r="EX119" s="34"/>
      <c r="EY119" s="34"/>
      <c r="EZ119" s="378"/>
      <c r="FA119" s="401"/>
      <c r="FB119" s="402"/>
      <c r="FC119" s="402"/>
    </row>
    <row r="120" spans="32:159" ht="18" thickTop="1" thickBot="1">
      <c r="AF120" s="8">
        <v>1156</v>
      </c>
      <c r="AG120" s="8">
        <v>1380</v>
      </c>
      <c r="AH120" s="8">
        <v>18732</v>
      </c>
      <c r="AI120" s="8">
        <v>8898</v>
      </c>
      <c r="AJ120" s="8">
        <v>7990</v>
      </c>
      <c r="AK120" s="8">
        <v>1844</v>
      </c>
      <c r="AL120" s="8">
        <v>5726</v>
      </c>
      <c r="AM120" s="8">
        <v>4498</v>
      </c>
      <c r="AN120" s="17">
        <v>71114</v>
      </c>
      <c r="AP120" t="s">
        <v>15</v>
      </c>
      <c r="AQ120" t="s">
        <v>82</v>
      </c>
      <c r="AR120" s="75">
        <v>10028.5581</v>
      </c>
      <c r="AS120" s="277">
        <f t="shared" si="63"/>
        <v>4.6576536899844041E-2</v>
      </c>
      <c r="EC120" s="412" t="s">
        <v>16</v>
      </c>
      <c r="ED120" s="412" t="s">
        <v>382</v>
      </c>
      <c r="EE120" s="412">
        <v>8987.5704000000005</v>
      </c>
      <c r="EF120" s="412">
        <v>0.30249521510169491</v>
      </c>
      <c r="EG120" s="413">
        <v>859027</v>
      </c>
      <c r="EH120" s="414">
        <f t="shared" si="55"/>
        <v>246.28409444716092</v>
      </c>
      <c r="EI120" s="415">
        <f t="shared" si="56"/>
        <v>0.97958905984646372</v>
      </c>
      <c r="EJ120" s="402">
        <v>0</v>
      </c>
      <c r="EM120" s="278" t="s">
        <v>16</v>
      </c>
      <c r="EN120" s="278" t="s">
        <v>382</v>
      </c>
      <c r="EO120" s="278">
        <v>8987.5704000000005</v>
      </c>
      <c r="EP120" s="278">
        <v>0.30249521510169491</v>
      </c>
      <c r="EQ120" s="289">
        <v>859027</v>
      </c>
      <c r="ER120" s="290">
        <f t="shared" si="37"/>
        <v>246.28409444716092</v>
      </c>
      <c r="ES120" s="291">
        <f t="shared" si="38"/>
        <v>0.97958905984646372</v>
      </c>
      <c r="ET120" s="402">
        <v>0</v>
      </c>
      <c r="EV120" s="34"/>
      <c r="EW120" s="34"/>
      <c r="EX120" s="34"/>
      <c r="EY120" s="34"/>
      <c r="EZ120" s="378"/>
      <c r="FA120" s="401"/>
      <c r="FB120" s="402"/>
      <c r="FC120" s="402"/>
    </row>
    <row r="121" spans="32:159" ht="18" thickTop="1" thickBot="1">
      <c r="AF121" s="11">
        <v>7340</v>
      </c>
      <c r="AG121" s="11">
        <v>6660</v>
      </c>
      <c r="AH121" s="11">
        <v>25512</v>
      </c>
      <c r="AI121" s="11">
        <v>10464</v>
      </c>
      <c r="AJ121" s="11">
        <v>9194</v>
      </c>
      <c r="AK121" s="11">
        <v>5854</v>
      </c>
      <c r="AL121" s="11">
        <v>7872</v>
      </c>
      <c r="AM121" s="11">
        <v>5174</v>
      </c>
      <c r="AN121" s="18">
        <v>151876</v>
      </c>
      <c r="AP121" t="s">
        <v>15</v>
      </c>
      <c r="AQ121" t="s">
        <v>88</v>
      </c>
      <c r="AR121" s="75">
        <v>21685.084499999997</v>
      </c>
      <c r="AS121" s="277">
        <f t="shared" si="63"/>
        <v>0.10071399380839066</v>
      </c>
      <c r="EC121" s="412" t="s">
        <v>17</v>
      </c>
      <c r="ED121" s="412" t="s">
        <v>577</v>
      </c>
      <c r="EE121" s="412">
        <v>2607.4872</v>
      </c>
      <c r="EF121" s="412">
        <v>3.7361234000204045E-2</v>
      </c>
      <c r="EG121" s="413">
        <v>859028</v>
      </c>
      <c r="EH121" s="414">
        <f t="shared" si="55"/>
        <v>25.968032256049181</v>
      </c>
      <c r="EI121" s="415">
        <f t="shared" si="56"/>
        <v>0.10328722348419241</v>
      </c>
      <c r="EJ121" s="402">
        <f t="shared" ref="EJ121" si="64">VLOOKUP($ED121,$AC$190:$AG$196,5,FALSE)</f>
        <v>69.65379732123462</v>
      </c>
      <c r="EM121" s="278" t="s">
        <v>17</v>
      </c>
      <c r="EN121" s="278" t="s">
        <v>577</v>
      </c>
      <c r="EO121" s="278">
        <v>2607.4872</v>
      </c>
      <c r="EP121" s="278">
        <v>3.7361234000204045E-2</v>
      </c>
      <c r="EQ121" s="289">
        <v>859028</v>
      </c>
      <c r="ER121" s="290">
        <f t="shared" si="37"/>
        <v>25.968032256049181</v>
      </c>
      <c r="ES121" s="291">
        <f t="shared" si="38"/>
        <v>0.10328722348419241</v>
      </c>
      <c r="ET121" s="402">
        <f t="shared" ref="ET121" si="65">VLOOKUP($ED121,$AC$180:$AG$186,5,FALSE)</f>
        <v>69.65379732123462</v>
      </c>
      <c r="EV121" s="34"/>
      <c r="EW121" s="34"/>
      <c r="EX121" s="34"/>
      <c r="EY121" s="34"/>
      <c r="EZ121" s="378"/>
      <c r="FA121" s="401"/>
      <c r="FB121" s="402"/>
      <c r="FC121" s="402"/>
    </row>
    <row r="122" spans="32:159" ht="17.5" thickTop="1">
      <c r="AP122" t="s">
        <v>15</v>
      </c>
      <c r="AQ122" t="s">
        <v>83</v>
      </c>
      <c r="AR122" s="75">
        <v>10018.5584</v>
      </c>
      <c r="AS122" s="277">
        <f t="shared" si="63"/>
        <v>4.6530094391220855E-2</v>
      </c>
      <c r="EC122" s="412" t="s">
        <v>17</v>
      </c>
      <c r="ED122" s="412" t="s">
        <v>103</v>
      </c>
      <c r="EE122" s="412">
        <v>15824.4439</v>
      </c>
      <c r="EF122" s="412">
        <v>0.22673965627559034</v>
      </c>
      <c r="EG122" s="413">
        <v>859029</v>
      </c>
      <c r="EH122" s="414">
        <f t="shared" si="55"/>
        <v>157.59604481634298</v>
      </c>
      <c r="EI122" s="415">
        <f t="shared" si="56"/>
        <v>0.62683447635423295</v>
      </c>
      <c r="EJ122" s="402">
        <f>VLOOKUP($ED122,$AC$190:$AG$196,5,FALSE)</f>
        <v>422.7183198183476</v>
      </c>
      <c r="EM122" s="278" t="s">
        <v>17</v>
      </c>
      <c r="EN122" s="278" t="s">
        <v>103</v>
      </c>
      <c r="EO122" s="278">
        <v>15824.4439</v>
      </c>
      <c r="EP122" s="278">
        <v>0.22673965627559034</v>
      </c>
      <c r="EQ122" s="289">
        <v>859029</v>
      </c>
      <c r="ER122" s="290">
        <f t="shared" si="37"/>
        <v>157.59604481634298</v>
      </c>
      <c r="ES122" s="291">
        <f t="shared" si="38"/>
        <v>0.62683447635423295</v>
      </c>
      <c r="ET122" s="402">
        <f>VLOOKUP($ED122,$AC$180:$AG$186,5,FALSE)</f>
        <v>422.7183198183476</v>
      </c>
      <c r="EV122" s="34"/>
      <c r="EW122" s="34"/>
      <c r="EX122" s="34"/>
      <c r="EY122" s="34"/>
      <c r="EZ122" s="378"/>
      <c r="FA122" s="401"/>
      <c r="FB122" s="402"/>
      <c r="FC122" s="402"/>
    </row>
    <row r="123" spans="32:159">
      <c r="AP123" t="s">
        <v>15</v>
      </c>
      <c r="AQ123" t="s">
        <v>84</v>
      </c>
      <c r="AR123" s="75">
        <v>5030.8546999999999</v>
      </c>
      <c r="AS123" s="277">
        <f t="shared" si="63"/>
        <v>2.3365252236241602E-2</v>
      </c>
      <c r="EC123" s="412" t="s">
        <v>17</v>
      </c>
      <c r="ED123" s="412" t="s">
        <v>104</v>
      </c>
      <c r="EE123" s="412">
        <v>11511.7454</v>
      </c>
      <c r="EF123" s="412">
        <v>0.16494539786817458</v>
      </c>
      <c r="EG123" s="413">
        <v>859030</v>
      </c>
      <c r="EH123" s="414">
        <f t="shared" si="55"/>
        <v>114.64576925655696</v>
      </c>
      <c r="EI123" s="415">
        <f t="shared" si="56"/>
        <v>0.45600078873749555</v>
      </c>
      <c r="EJ123" s="402">
        <f t="shared" ref="EJ123:EJ126" si="66">VLOOKUP($ED123,$AC$190:$AG$196,5,FALSE)</f>
        <v>307.5132184369898</v>
      </c>
      <c r="EM123" s="278" t="s">
        <v>17</v>
      </c>
      <c r="EN123" s="278" t="s">
        <v>104</v>
      </c>
      <c r="EO123" s="278">
        <v>11511.7454</v>
      </c>
      <c r="EP123" s="278">
        <v>0.16494539786817458</v>
      </c>
      <c r="EQ123" s="289">
        <v>859030</v>
      </c>
      <c r="ER123" s="290">
        <f t="shared" si="37"/>
        <v>114.64576925655696</v>
      </c>
      <c r="ES123" s="291">
        <f t="shared" si="38"/>
        <v>0.45600078873749555</v>
      </c>
      <c r="ET123" s="402">
        <f t="shared" ref="ET123:ET126" si="67">VLOOKUP($ED123,$AC$180:$AG$186,5,FALSE)</f>
        <v>307.5132184369898</v>
      </c>
      <c r="EV123" s="34"/>
      <c r="EW123" s="34"/>
      <c r="EX123" s="34"/>
      <c r="EY123" s="34"/>
      <c r="EZ123" s="378"/>
      <c r="FA123" s="401"/>
      <c r="FB123" s="402"/>
      <c r="FC123" s="402"/>
    </row>
    <row r="124" spans="32:159">
      <c r="AP124" t="s">
        <v>15</v>
      </c>
      <c r="AQ124" t="s">
        <v>89</v>
      </c>
      <c r="AR124" s="75">
        <v>6744.6391999999996</v>
      </c>
      <c r="AS124" s="277">
        <f t="shared" si="63"/>
        <v>3.132473616271262E-2</v>
      </c>
      <c r="EC124" s="412" t="s">
        <v>17</v>
      </c>
      <c r="ED124" s="412" t="s">
        <v>117</v>
      </c>
      <c r="EE124" s="412">
        <v>4659.9287999999997</v>
      </c>
      <c r="EF124" s="412">
        <v>6.6769528272694875E-2</v>
      </c>
      <c r="EG124" s="413">
        <v>859031</v>
      </c>
      <c r="EH124" s="414">
        <f t="shared" si="55"/>
        <v>46.408351070445342</v>
      </c>
      <c r="EI124" s="415">
        <f t="shared" si="56"/>
        <v>0.18458809975597365</v>
      </c>
      <c r="EJ124" s="402">
        <f t="shared" si="66"/>
        <v>124.48066328631798</v>
      </c>
      <c r="EM124" s="278" t="s">
        <v>17</v>
      </c>
      <c r="EN124" s="278" t="s">
        <v>117</v>
      </c>
      <c r="EO124" s="278">
        <v>4659.9287999999997</v>
      </c>
      <c r="EP124" s="278">
        <v>6.6769528272694875E-2</v>
      </c>
      <c r="EQ124" s="289">
        <v>859031</v>
      </c>
      <c r="ER124" s="290">
        <f t="shared" si="37"/>
        <v>46.408351070445342</v>
      </c>
      <c r="ES124" s="291">
        <f t="shared" si="38"/>
        <v>0.18458809975597365</v>
      </c>
      <c r="ET124" s="402">
        <f t="shared" si="67"/>
        <v>124.48066328631798</v>
      </c>
      <c r="EV124" s="34"/>
      <c r="EW124" s="34"/>
      <c r="EX124" s="34"/>
      <c r="EY124" s="34"/>
      <c r="EZ124" s="378"/>
      <c r="FA124" s="401"/>
      <c r="FB124" s="402"/>
      <c r="FC124" s="402"/>
    </row>
    <row r="125" spans="32:159">
      <c r="AP125" t="s">
        <v>15</v>
      </c>
      <c r="AQ125" t="s">
        <v>90</v>
      </c>
      <c r="AR125" s="75">
        <v>9730.2787000000008</v>
      </c>
      <c r="AS125" s="277">
        <f t="shared" si="63"/>
        <v>4.519121097940456E-2</v>
      </c>
      <c r="EC125" s="412" t="s">
        <v>17</v>
      </c>
      <c r="ED125" s="412" t="s">
        <v>118</v>
      </c>
      <c r="EE125" s="412">
        <v>23055.857</v>
      </c>
      <c r="EF125" s="412">
        <v>0.33035455301649896</v>
      </c>
      <c r="EG125" s="413">
        <v>859032</v>
      </c>
      <c r="EH125" s="414">
        <f t="shared" si="55"/>
        <v>229.61387433344154</v>
      </c>
      <c r="EI125" s="415">
        <f t="shared" si="56"/>
        <v>0.91328366044465414</v>
      </c>
      <c r="EJ125" s="402">
        <f t="shared" si="66"/>
        <v>615.89103507214475</v>
      </c>
      <c r="EM125" s="278" t="s">
        <v>17</v>
      </c>
      <c r="EN125" s="278" t="s">
        <v>118</v>
      </c>
      <c r="EO125" s="278">
        <v>23055.857</v>
      </c>
      <c r="EP125" s="278">
        <v>0.33035455301649896</v>
      </c>
      <c r="EQ125" s="289">
        <v>859032</v>
      </c>
      <c r="ER125" s="290">
        <f t="shared" si="37"/>
        <v>229.61387433344154</v>
      </c>
      <c r="ES125" s="291">
        <f t="shared" si="38"/>
        <v>0.91328366044465414</v>
      </c>
      <c r="ET125" s="402">
        <f t="shared" si="67"/>
        <v>615.89103507214475</v>
      </c>
      <c r="EV125" s="34"/>
      <c r="EW125" s="34"/>
      <c r="EX125" s="34"/>
      <c r="EY125" s="34"/>
      <c r="EZ125" s="378"/>
      <c r="FA125" s="401"/>
      <c r="FB125" s="402"/>
      <c r="FC125" s="402"/>
    </row>
    <row r="126" spans="32:159">
      <c r="AP126" t="s">
        <v>15</v>
      </c>
      <c r="AQ126" t="s">
        <v>91</v>
      </c>
      <c r="AR126" s="75">
        <v>11598.4503</v>
      </c>
      <c r="AS126" s="277">
        <f t="shared" si="63"/>
        <v>5.386772883919945E-2</v>
      </c>
      <c r="EC126" s="412" t="s">
        <v>17</v>
      </c>
      <c r="ED126" s="412" t="s">
        <v>119</v>
      </c>
      <c r="EE126" s="412">
        <v>12131.7871</v>
      </c>
      <c r="EF126" s="412">
        <v>0.17382963056683723</v>
      </c>
      <c r="EG126" s="413">
        <v>859033</v>
      </c>
      <c r="EH126" s="414">
        <f t="shared" si="55"/>
        <v>120.8207805339644</v>
      </c>
      <c r="EI126" s="415">
        <f t="shared" si="56"/>
        <v>0.48056174751705105</v>
      </c>
      <c r="EJ126" s="402">
        <f t="shared" si="66"/>
        <v>324.07639040673678</v>
      </c>
      <c r="EM126" s="278" t="s">
        <v>17</v>
      </c>
      <c r="EN126" s="278" t="s">
        <v>119</v>
      </c>
      <c r="EO126" s="278">
        <v>12131.7871</v>
      </c>
      <c r="EP126" s="278">
        <v>0.17382963056683723</v>
      </c>
      <c r="EQ126" s="289">
        <v>859033</v>
      </c>
      <c r="ER126" s="290">
        <f t="shared" si="37"/>
        <v>120.8207805339644</v>
      </c>
      <c r="ES126" s="291">
        <f t="shared" si="38"/>
        <v>0.48056174751705105</v>
      </c>
      <c r="ET126" s="402">
        <f t="shared" si="67"/>
        <v>324.07639040673678</v>
      </c>
      <c r="EV126" s="34"/>
      <c r="EW126" s="34"/>
      <c r="EX126" s="34"/>
      <c r="EY126" s="34"/>
      <c r="EZ126" s="378"/>
      <c r="FA126" s="401"/>
      <c r="FB126" s="402"/>
      <c r="FC126" s="402"/>
    </row>
    <row r="127" spans="32:159">
      <c r="AP127" t="s">
        <v>15</v>
      </c>
      <c r="AQ127" t="s">
        <v>92</v>
      </c>
      <c r="AR127" s="75">
        <v>20670.0766</v>
      </c>
      <c r="AS127" s="277">
        <f t="shared" si="63"/>
        <v>9.5999901070773372E-2</v>
      </c>
      <c r="EC127" s="412" t="s">
        <v>578</v>
      </c>
      <c r="ED127" s="412" t="s">
        <v>579</v>
      </c>
      <c r="EE127" s="412">
        <v>17191.4817</v>
      </c>
      <c r="EF127" s="412">
        <v>0.33368246308233862</v>
      </c>
      <c r="EG127" s="413">
        <v>859034</v>
      </c>
      <c r="EH127" s="414">
        <f t="shared" si="55"/>
        <v>297.77207966917337</v>
      </c>
      <c r="EI127" s="415">
        <f t="shared" si="56"/>
        <v>1.1843812822197224</v>
      </c>
      <c r="EJ127" s="402">
        <v>0</v>
      </c>
      <c r="EM127" s="278" t="s">
        <v>578</v>
      </c>
      <c r="EN127" s="278" t="s">
        <v>579</v>
      </c>
      <c r="EO127" s="278">
        <v>17191.4817</v>
      </c>
      <c r="EP127" s="278">
        <v>0.33368246308233862</v>
      </c>
      <c r="EQ127" s="289">
        <v>859034</v>
      </c>
      <c r="ER127" s="290">
        <f t="shared" si="37"/>
        <v>297.77207966917337</v>
      </c>
      <c r="ES127" s="291">
        <f t="shared" si="38"/>
        <v>1.1843812822197224</v>
      </c>
      <c r="ET127" s="402">
        <v>0</v>
      </c>
      <c r="EV127" s="34"/>
      <c r="EW127" s="34"/>
      <c r="EX127" s="34"/>
      <c r="EY127" s="34"/>
      <c r="EZ127" s="378"/>
      <c r="FA127" s="401"/>
      <c r="FB127" s="402"/>
      <c r="FC127" s="402"/>
    </row>
    <row r="128" spans="32:159">
      <c r="AP128" t="s">
        <v>15</v>
      </c>
      <c r="AQ128" t="s">
        <v>93</v>
      </c>
      <c r="AR128" s="75">
        <v>6590.8657999999996</v>
      </c>
      <c r="AS128" s="277">
        <f t="shared" si="63"/>
        <v>3.061055249165083E-2</v>
      </c>
      <c r="EC128" s="412" t="s">
        <v>578</v>
      </c>
      <c r="ED128" s="412" t="s">
        <v>580</v>
      </c>
      <c r="EE128" s="412">
        <v>22736.497299999999</v>
      </c>
      <c r="EF128" s="412">
        <v>0.44130986225166047</v>
      </c>
      <c r="EG128" s="413">
        <v>859035</v>
      </c>
      <c r="EH128" s="414">
        <f t="shared" si="55"/>
        <v>393.81678691567026</v>
      </c>
      <c r="EI128" s="415">
        <f t="shared" si="56"/>
        <v>1.5663967943705084</v>
      </c>
      <c r="EJ128" s="402">
        <v>0</v>
      </c>
      <c r="EM128" s="278" t="s">
        <v>578</v>
      </c>
      <c r="EN128" s="278" t="s">
        <v>580</v>
      </c>
      <c r="EO128" s="278">
        <v>22736.497299999999</v>
      </c>
      <c r="EP128" s="278">
        <v>0.44130986225166047</v>
      </c>
      <c r="EQ128" s="289">
        <v>859035</v>
      </c>
      <c r="ER128" s="290">
        <f t="shared" si="37"/>
        <v>393.81678691567026</v>
      </c>
      <c r="ES128" s="291">
        <f t="shared" si="38"/>
        <v>1.5663967943705084</v>
      </c>
      <c r="ET128" s="402">
        <v>0</v>
      </c>
      <c r="EV128" s="34"/>
      <c r="EW128" s="34"/>
      <c r="EX128" s="34"/>
      <c r="EY128" s="34"/>
      <c r="EZ128" s="378"/>
      <c r="FA128" s="401"/>
      <c r="FB128" s="402"/>
      <c r="FC128" s="402"/>
    </row>
    <row r="129" spans="42:159">
      <c r="AP129" t="s">
        <v>15</v>
      </c>
      <c r="AQ129" t="s">
        <v>94</v>
      </c>
      <c r="AR129" s="75">
        <v>3970.3760000000002</v>
      </c>
      <c r="AS129" s="277">
        <f t="shared" si="63"/>
        <v>1.843997536098985E-2</v>
      </c>
      <c r="EC129" s="412" t="s">
        <v>578</v>
      </c>
      <c r="ED129" s="412" t="s">
        <v>581</v>
      </c>
      <c r="EE129" s="412">
        <v>11592.5041</v>
      </c>
      <c r="EF129" s="412">
        <v>0.22500767466600097</v>
      </c>
      <c r="EG129" s="413">
        <v>859036</v>
      </c>
      <c r="EH129" s="414">
        <f t="shared" si="55"/>
        <v>200.79270156396225</v>
      </c>
      <c r="EI129" s="415">
        <f t="shared" si="56"/>
        <v>0.79864813921742361</v>
      </c>
      <c r="EJ129" s="402">
        <v>0</v>
      </c>
      <c r="EM129" s="278" t="s">
        <v>578</v>
      </c>
      <c r="EN129" s="278" t="s">
        <v>581</v>
      </c>
      <c r="EO129" s="278">
        <v>11592.5041</v>
      </c>
      <c r="EP129" s="278">
        <v>0.22500767466600097</v>
      </c>
      <c r="EQ129" s="289">
        <v>859036</v>
      </c>
      <c r="ER129" s="290">
        <f t="shared" si="37"/>
        <v>200.79270156396225</v>
      </c>
      <c r="ES129" s="291">
        <f t="shared" si="38"/>
        <v>0.79864813921742361</v>
      </c>
      <c r="ET129" s="402">
        <v>0</v>
      </c>
      <c r="EV129" s="34"/>
      <c r="EW129" s="34"/>
      <c r="EX129" s="34"/>
      <c r="EY129" s="34"/>
      <c r="EZ129" s="378"/>
      <c r="FA129" s="401"/>
      <c r="FB129" s="402"/>
      <c r="FC129" s="402"/>
    </row>
    <row r="130" spans="42:159">
      <c r="AP130" t="s">
        <v>15</v>
      </c>
      <c r="AQ130" t="s">
        <v>95</v>
      </c>
      <c r="AR130" s="75">
        <v>14487.1335</v>
      </c>
      <c r="AS130" s="277">
        <f t="shared" si="63"/>
        <v>6.7283900766922491E-2</v>
      </c>
      <c r="EC130" s="412" t="s">
        <v>24</v>
      </c>
      <c r="ED130" s="412" t="s">
        <v>582</v>
      </c>
      <c r="EE130" s="412">
        <v>11518.725399999999</v>
      </c>
      <c r="EF130" s="412">
        <v>0.5685947059337656</v>
      </c>
      <c r="EG130" s="413">
        <v>859037</v>
      </c>
      <c r="EH130" s="414">
        <f t="shared" si="55"/>
        <v>160.64339754399612</v>
      </c>
      <c r="EI130" s="415">
        <f t="shared" si="56"/>
        <v>0.63895524850642205</v>
      </c>
      <c r="EJ130" s="402">
        <v>0</v>
      </c>
      <c r="EM130" s="278" t="s">
        <v>24</v>
      </c>
      <c r="EN130" s="278" t="s">
        <v>582</v>
      </c>
      <c r="EO130" s="278">
        <v>11518.725399999999</v>
      </c>
      <c r="EP130" s="278">
        <v>0.5685947059337656</v>
      </c>
      <c r="EQ130" s="289">
        <v>859037</v>
      </c>
      <c r="ER130" s="290">
        <f t="shared" si="37"/>
        <v>160.64339754399612</v>
      </c>
      <c r="ES130" s="291">
        <f t="shared" si="38"/>
        <v>0.63895524850642205</v>
      </c>
      <c r="ET130" s="402">
        <v>0</v>
      </c>
      <c r="EV130" s="34"/>
      <c r="EW130" s="34"/>
      <c r="EX130" s="34"/>
      <c r="EY130" s="34"/>
      <c r="EZ130" s="378"/>
      <c r="FA130" s="401"/>
      <c r="FB130" s="402"/>
      <c r="FC130" s="402"/>
    </row>
    <row r="131" spans="42:159">
      <c r="AP131" t="s">
        <v>15</v>
      </c>
      <c r="AQ131" t="s">
        <v>96</v>
      </c>
      <c r="AR131" s="75">
        <v>7440.5132000000003</v>
      </c>
      <c r="AS131" s="277">
        <f t="shared" si="63"/>
        <v>3.4556646544589169E-2</v>
      </c>
      <c r="EC131" s="412" t="s">
        <v>24</v>
      </c>
      <c r="ED131" s="412" t="s">
        <v>583</v>
      </c>
      <c r="EE131" s="412">
        <v>8739.51</v>
      </c>
      <c r="EF131" s="412">
        <v>0.43140529406623446</v>
      </c>
      <c r="EG131" s="413">
        <v>859038</v>
      </c>
      <c r="EH131" s="414">
        <f t="shared" si="55"/>
        <v>121.88367467026599</v>
      </c>
      <c r="EI131" s="415">
        <f t="shared" si="56"/>
        <v>0.48478938337000038</v>
      </c>
      <c r="EJ131" s="402">
        <v>0</v>
      </c>
      <c r="EM131" s="278" t="s">
        <v>24</v>
      </c>
      <c r="EN131" s="278" t="s">
        <v>583</v>
      </c>
      <c r="EO131" s="278">
        <v>8739.51</v>
      </c>
      <c r="EP131" s="278">
        <v>0.43140529406623446</v>
      </c>
      <c r="EQ131" s="289">
        <v>859038</v>
      </c>
      <c r="ER131" s="290">
        <f t="shared" si="37"/>
        <v>121.88367467026599</v>
      </c>
      <c r="ES131" s="291">
        <f t="shared" si="38"/>
        <v>0.48478938337000038</v>
      </c>
      <c r="ET131" s="402">
        <v>0</v>
      </c>
      <c r="EV131" s="34"/>
      <c r="EW131" s="34"/>
      <c r="EX131" s="34"/>
      <c r="EY131" s="34"/>
      <c r="EZ131" s="378"/>
      <c r="FA131" s="401"/>
      <c r="FB131" s="402"/>
      <c r="FC131" s="402"/>
    </row>
    <row r="132" spans="42:159">
      <c r="AP132" t="s">
        <v>15</v>
      </c>
      <c r="AQ132" t="s">
        <v>97</v>
      </c>
      <c r="AR132" s="75">
        <v>20150.029900000001</v>
      </c>
      <c r="AS132" s="277">
        <f t="shared" si="63"/>
        <v>9.3584601276858623E-2</v>
      </c>
      <c r="EC132" s="412" t="s">
        <v>481</v>
      </c>
      <c r="ED132" s="412" t="s">
        <v>584</v>
      </c>
      <c r="EE132" s="412">
        <v>2599.7966999999999</v>
      </c>
      <c r="EF132" s="412">
        <v>0.17076241811950377</v>
      </c>
      <c r="EG132" s="413">
        <v>859039</v>
      </c>
      <c r="EH132" s="414">
        <f t="shared" si="55"/>
        <v>15.211990903962128</v>
      </c>
      <c r="EI132" s="415">
        <f t="shared" si="56"/>
        <v>6.0505327806308087E-2</v>
      </c>
      <c r="EJ132" s="402">
        <v>0</v>
      </c>
      <c r="EM132" s="278" t="s">
        <v>481</v>
      </c>
      <c r="EN132" s="278" t="s">
        <v>584</v>
      </c>
      <c r="EO132" s="278">
        <v>2599.7966999999999</v>
      </c>
      <c r="EP132" s="278">
        <v>0.17076241811950377</v>
      </c>
      <c r="EQ132" s="289">
        <v>859039</v>
      </c>
      <c r="ER132" s="290">
        <f t="shared" si="37"/>
        <v>15.211990903962128</v>
      </c>
      <c r="ES132" s="291">
        <f t="shared" si="38"/>
        <v>6.0505327806308087E-2</v>
      </c>
      <c r="ET132" s="402">
        <v>0</v>
      </c>
      <c r="EV132" s="34"/>
      <c r="EW132" s="34"/>
      <c r="EX132" s="34"/>
      <c r="EY132" s="34"/>
      <c r="EZ132" s="378"/>
      <c r="FA132" s="401"/>
      <c r="FB132" s="402"/>
      <c r="FC132" s="402"/>
    </row>
    <row r="133" spans="42:159">
      <c r="AP133" t="s">
        <v>15</v>
      </c>
      <c r="AQ133" t="s">
        <v>98</v>
      </c>
      <c r="AR133" s="75">
        <v>8631.4781000000003</v>
      </c>
      <c r="AS133" s="277">
        <f t="shared" si="63"/>
        <v>4.0087952247576428E-2</v>
      </c>
      <c r="EC133" s="412" t="s">
        <v>481</v>
      </c>
      <c r="ED133" s="412" t="s">
        <v>393</v>
      </c>
      <c r="EE133" s="412">
        <v>1032.4983</v>
      </c>
      <c r="EF133" s="412">
        <v>6.7817574509682552E-2</v>
      </c>
      <c r="EG133" s="413">
        <v>859040</v>
      </c>
      <c r="EH133" s="414">
        <f t="shared" si="55"/>
        <v>6.0413780615831847</v>
      </c>
      <c r="EI133" s="415">
        <f t="shared" si="56"/>
        <v>2.4029435878950008E-2</v>
      </c>
      <c r="EJ133" s="402">
        <v>0</v>
      </c>
      <c r="EM133" s="278" t="s">
        <v>481</v>
      </c>
      <c r="EN133" s="278" t="s">
        <v>393</v>
      </c>
      <c r="EO133" s="278">
        <v>1032.4983</v>
      </c>
      <c r="EP133" s="278">
        <v>6.7817574509682552E-2</v>
      </c>
      <c r="EQ133" s="289">
        <v>859040</v>
      </c>
      <c r="ER133" s="290">
        <f t="shared" si="37"/>
        <v>6.0413780615831847</v>
      </c>
      <c r="ES133" s="291">
        <f t="shared" si="38"/>
        <v>2.4029435878950008E-2</v>
      </c>
      <c r="ET133" s="402">
        <v>0</v>
      </c>
      <c r="EV133" s="34"/>
      <c r="EW133" s="34"/>
      <c r="EX133" s="34"/>
      <c r="EY133" s="34"/>
      <c r="EZ133" s="378"/>
      <c r="FA133" s="401"/>
      <c r="FB133" s="402"/>
      <c r="FC133" s="402"/>
    </row>
    <row r="134" spans="42:159">
      <c r="AP134" t="s">
        <v>15</v>
      </c>
      <c r="AQ134" t="s">
        <v>99</v>
      </c>
      <c r="AR134" s="75">
        <v>11977.777099999999</v>
      </c>
      <c r="AS134" s="277">
        <f t="shared" si="63"/>
        <v>5.56294705094501E-2</v>
      </c>
      <c r="EC134" s="412" t="s">
        <v>481</v>
      </c>
      <c r="ED134" s="412" t="s">
        <v>130</v>
      </c>
      <c r="EE134" s="412">
        <v>1625.5998999999999</v>
      </c>
      <c r="EF134" s="412">
        <v>0.10677426039460067</v>
      </c>
      <c r="EG134" s="413">
        <v>859041</v>
      </c>
      <c r="EH134" s="414">
        <f t="shared" si="55"/>
        <v>9.5117479348603471</v>
      </c>
      <c r="EI134" s="415">
        <f t="shared" si="56"/>
        <v>3.7832748549685311E-2</v>
      </c>
      <c r="EJ134" s="402">
        <v>0</v>
      </c>
      <c r="EM134" s="278" t="s">
        <v>481</v>
      </c>
      <c r="EN134" s="278" t="s">
        <v>130</v>
      </c>
      <c r="EO134" s="278">
        <v>1625.5998999999999</v>
      </c>
      <c r="EP134" s="278">
        <v>0.10677426039460067</v>
      </c>
      <c r="EQ134" s="289">
        <v>859041</v>
      </c>
      <c r="ER134" s="290">
        <f t="shared" si="37"/>
        <v>9.5117479348603471</v>
      </c>
      <c r="ES134" s="291">
        <f t="shared" si="38"/>
        <v>3.7832748549685311E-2</v>
      </c>
      <c r="ET134" s="402">
        <v>0</v>
      </c>
      <c r="EV134" s="34"/>
      <c r="EW134" s="34"/>
      <c r="EX134" s="34"/>
      <c r="EY134" s="34"/>
      <c r="EZ134" s="378"/>
      <c r="FA134" s="401"/>
      <c r="FB134" s="402"/>
      <c r="FC134" s="402"/>
    </row>
    <row r="135" spans="42:159">
      <c r="AP135" t="s">
        <v>15</v>
      </c>
      <c r="AQ135" t="s">
        <v>100</v>
      </c>
      <c r="AR135" s="75">
        <v>5754.1068999999998</v>
      </c>
      <c r="AS135" s="277">
        <f t="shared" si="63"/>
        <v>2.672431766172818E-2</v>
      </c>
      <c r="EC135" s="412" t="s">
        <v>481</v>
      </c>
      <c r="ED135" s="412" t="s">
        <v>131</v>
      </c>
      <c r="EE135" s="412">
        <v>2880.0880999999999</v>
      </c>
      <c r="EF135" s="412">
        <v>0.18917279507017112</v>
      </c>
      <c r="EG135" s="413">
        <v>859042</v>
      </c>
      <c r="EH135" s="414">
        <f t="shared" si="55"/>
        <v>16.852038461241825</v>
      </c>
      <c r="EI135" s="415">
        <f t="shared" si="56"/>
        <v>6.702857750436679E-2</v>
      </c>
      <c r="EJ135" s="402">
        <v>0</v>
      </c>
      <c r="EM135" s="278" t="s">
        <v>481</v>
      </c>
      <c r="EN135" s="278" t="s">
        <v>131</v>
      </c>
      <c r="EO135" s="278">
        <v>2880.0880999999999</v>
      </c>
      <c r="EP135" s="278">
        <v>0.18917279507017112</v>
      </c>
      <c r="EQ135" s="289">
        <v>859042</v>
      </c>
      <c r="ER135" s="290">
        <f t="shared" si="37"/>
        <v>16.852038461241825</v>
      </c>
      <c r="ES135" s="291">
        <f t="shared" si="38"/>
        <v>6.702857750436679E-2</v>
      </c>
      <c r="ET135" s="402">
        <v>0</v>
      </c>
      <c r="EV135" s="34"/>
      <c r="EW135" s="34"/>
      <c r="EX135" s="34"/>
      <c r="EY135" s="34"/>
      <c r="EZ135" s="378"/>
      <c r="FA135" s="401"/>
      <c r="FB135" s="402"/>
      <c r="FC135" s="402"/>
    </row>
    <row r="136" spans="42:159">
      <c r="AP136" t="s">
        <v>15</v>
      </c>
      <c r="AQ136" t="s">
        <v>101</v>
      </c>
      <c r="AR136" s="75">
        <v>6005.2467999999999</v>
      </c>
      <c r="AS136" s="277">
        <f t="shared" si="63"/>
        <v>2.7890709350616452E-2</v>
      </c>
      <c r="EC136" s="412" t="s">
        <v>481</v>
      </c>
      <c r="ED136" s="412" t="s">
        <v>132</v>
      </c>
      <c r="EE136" s="412">
        <v>687.99680000000001</v>
      </c>
      <c r="EF136" s="412">
        <v>4.5189686265268592E-2</v>
      </c>
      <c r="EG136" s="413">
        <v>859043</v>
      </c>
      <c r="EH136" s="414">
        <f t="shared" si="55"/>
        <v>4.0256228741097537</v>
      </c>
      <c r="EI136" s="415">
        <f t="shared" si="56"/>
        <v>1.6011818121659659E-2</v>
      </c>
      <c r="EJ136" s="402">
        <v>0</v>
      </c>
      <c r="EM136" s="278" t="s">
        <v>481</v>
      </c>
      <c r="EN136" s="278" t="s">
        <v>132</v>
      </c>
      <c r="EO136" s="278">
        <v>687.99680000000001</v>
      </c>
      <c r="EP136" s="278">
        <v>4.5189686265268592E-2</v>
      </c>
      <c r="EQ136" s="289">
        <v>859043</v>
      </c>
      <c r="ER136" s="290">
        <f t="shared" si="37"/>
        <v>4.0256228741097537</v>
      </c>
      <c r="ES136" s="291">
        <f t="shared" si="38"/>
        <v>1.6011818121659659E-2</v>
      </c>
      <c r="ET136" s="402">
        <v>0</v>
      </c>
      <c r="EV136" s="34"/>
      <c r="EW136" s="34"/>
      <c r="EX136" s="34"/>
      <c r="EY136" s="34"/>
      <c r="EZ136" s="378"/>
      <c r="FA136" s="401"/>
      <c r="FB136" s="402"/>
      <c r="FC136" s="402"/>
    </row>
    <row r="137" spans="42:159">
      <c r="AP137" t="s">
        <v>16</v>
      </c>
      <c r="AQ137" t="s">
        <v>113</v>
      </c>
      <c r="AR137" s="75">
        <v>10596.0813</v>
      </c>
      <c r="AS137" s="277">
        <f t="shared" si="63"/>
        <v>0.3566329663552395</v>
      </c>
      <c r="EC137" s="412" t="s">
        <v>481</v>
      </c>
      <c r="ED137" s="412" t="s">
        <v>133</v>
      </c>
      <c r="EE137" s="412">
        <v>2308.0711000000001</v>
      </c>
      <c r="EF137" s="412">
        <v>0.15160100873569959</v>
      </c>
      <c r="EG137" s="413">
        <v>859044</v>
      </c>
      <c r="EH137" s="414">
        <f t="shared" si="55"/>
        <v>13.505039289763644</v>
      </c>
      <c r="EI137" s="415">
        <f t="shared" si="56"/>
        <v>5.3715968831626756E-2</v>
      </c>
      <c r="EJ137" s="402">
        <v>0</v>
      </c>
      <c r="EM137" s="278" t="s">
        <v>481</v>
      </c>
      <c r="EN137" s="278" t="s">
        <v>133</v>
      </c>
      <c r="EO137" s="278">
        <v>2308.0711000000001</v>
      </c>
      <c r="EP137" s="278">
        <v>0.15160100873569959</v>
      </c>
      <c r="EQ137" s="289">
        <v>859044</v>
      </c>
      <c r="ER137" s="290">
        <f t="shared" si="37"/>
        <v>13.505039289763644</v>
      </c>
      <c r="ES137" s="291">
        <f t="shared" si="38"/>
        <v>5.3715968831626756E-2</v>
      </c>
      <c r="ET137" s="402">
        <v>0</v>
      </c>
      <c r="EV137" s="34"/>
      <c r="EW137" s="34"/>
      <c r="EX137" s="34"/>
      <c r="EY137" s="34"/>
      <c r="EZ137" s="378"/>
      <c r="FA137" s="401"/>
      <c r="FB137" s="402"/>
      <c r="FC137" s="402"/>
    </row>
    <row r="138" spans="42:159" ht="17.5" thickBot="1">
      <c r="AP138" t="s">
        <v>16</v>
      </c>
      <c r="AQ138" t="s">
        <v>114</v>
      </c>
      <c r="AR138" s="75">
        <v>10127.7948</v>
      </c>
      <c r="AS138" s="277">
        <f t="shared" si="63"/>
        <v>0.34087181854306553</v>
      </c>
      <c r="EC138" s="412" t="s">
        <v>481</v>
      </c>
      <c r="ED138" s="412" t="s">
        <v>134</v>
      </c>
      <c r="EE138" s="412">
        <v>4090.5911999999998</v>
      </c>
      <c r="EF138" s="412">
        <v>0.26868225690507364</v>
      </c>
      <c r="EG138" s="416">
        <v>859045</v>
      </c>
      <c r="EH138" s="414">
        <f t="shared" si="55"/>
        <v>23.934962347720315</v>
      </c>
      <c r="EI138" s="415">
        <f t="shared" si="56"/>
        <v>9.520073684130731E-2</v>
      </c>
      <c r="EJ138" s="402">
        <v>0</v>
      </c>
      <c r="EM138" s="278" t="s">
        <v>481</v>
      </c>
      <c r="EN138" s="278" t="s">
        <v>134</v>
      </c>
      <c r="EO138" s="278">
        <v>4090.5911999999998</v>
      </c>
      <c r="EP138" s="278">
        <v>0.26868225690507364</v>
      </c>
      <c r="EQ138" s="292">
        <v>859045</v>
      </c>
      <c r="ER138" s="290">
        <f t="shared" si="37"/>
        <v>23.934962347720315</v>
      </c>
      <c r="ES138" s="291">
        <f t="shared" si="38"/>
        <v>9.520073684130731E-2</v>
      </c>
      <c r="ET138" s="402">
        <v>0</v>
      </c>
      <c r="EV138" s="34"/>
      <c r="EW138" s="34"/>
      <c r="EX138" s="34"/>
      <c r="EY138" s="34"/>
      <c r="EZ138" s="378"/>
      <c r="FA138" s="401"/>
      <c r="FB138" s="402"/>
      <c r="FC138" s="402"/>
    </row>
    <row r="139" spans="42:159">
      <c r="AP139" t="s">
        <v>16</v>
      </c>
      <c r="AQ139" t="s">
        <v>115</v>
      </c>
      <c r="AR139" s="75">
        <v>8987.5704000000005</v>
      </c>
      <c r="AS139" s="277">
        <f t="shared" si="63"/>
        <v>0.30249521510169491</v>
      </c>
      <c r="EG139" s="230">
        <f>ABS(SUM(EQ94:EQ138))</f>
        <v>38656035</v>
      </c>
      <c r="EH139" s="230">
        <f>SUM(EH94:EH138)</f>
        <v>10630.89034696598</v>
      </c>
      <c r="EI139" s="230">
        <f>SUM(EI94:EI138)</f>
        <v>42.284110566261134</v>
      </c>
      <c r="EJ139" s="230">
        <f>SUM(EJ94:EJ138)</f>
        <v>1864.3334243417717</v>
      </c>
      <c r="EQ139" s="230"/>
      <c r="ER139" s="230">
        <f>SUM(ER94:ER138)</f>
        <v>10630.89034696598</v>
      </c>
      <c r="ES139" s="230">
        <f>SUM(ES94:ES138)</f>
        <v>42.284110566261134</v>
      </c>
      <c r="ET139" s="230">
        <f>SUM(ET94:ET138)</f>
        <v>1864.3334243417717</v>
      </c>
      <c r="FA139" s="230"/>
      <c r="FB139" s="230"/>
    </row>
    <row r="140" spans="42:159">
      <c r="AP140" t="s">
        <v>141</v>
      </c>
      <c r="AQ140" t="s">
        <v>102</v>
      </c>
      <c r="AR140" s="75">
        <v>2607.4872</v>
      </c>
      <c r="AS140" s="277">
        <f t="shared" si="63"/>
        <v>3.7361234000204045E-2</v>
      </c>
      <c r="EH140" s="230">
        <f t="shared" ref="EH140:EI140" si="68">EH139</f>
        <v>10630.89034696598</v>
      </c>
      <c r="EI140" s="230">
        <f t="shared" si="68"/>
        <v>42.284110566261134</v>
      </c>
      <c r="EJ140" s="230">
        <f>EJ139</f>
        <v>1864.3334243417717</v>
      </c>
    </row>
    <row r="141" spans="42:159">
      <c r="AP141" t="s">
        <v>141</v>
      </c>
      <c r="AQ141" t="s">
        <v>103</v>
      </c>
      <c r="AR141" s="75">
        <v>15824.4439</v>
      </c>
      <c r="AS141" s="277">
        <f t="shared" si="63"/>
        <v>0.22673965627559034</v>
      </c>
      <c r="EH141" s="230" t="s">
        <v>603</v>
      </c>
    </row>
    <row r="142" spans="42:159">
      <c r="AP142" t="s">
        <v>141</v>
      </c>
      <c r="AQ142" t="s">
        <v>104</v>
      </c>
      <c r="AR142" s="75">
        <v>11511.7454</v>
      </c>
      <c r="AS142" s="277">
        <f t="shared" si="63"/>
        <v>0.16494539786817458</v>
      </c>
    </row>
    <row r="143" spans="42:159">
      <c r="AP143" t="s">
        <v>141</v>
      </c>
      <c r="AQ143" t="s">
        <v>117</v>
      </c>
      <c r="AR143" s="75">
        <v>4659.9287999999997</v>
      </c>
      <c r="AS143" s="277">
        <f t="shared" si="63"/>
        <v>6.6769528272694875E-2</v>
      </c>
    </row>
    <row r="144" spans="42:159">
      <c r="AP144" t="s">
        <v>141</v>
      </c>
      <c r="AQ144" t="s">
        <v>118</v>
      </c>
      <c r="AR144" s="75">
        <v>23055.857</v>
      </c>
      <c r="AS144" s="277">
        <f t="shared" si="63"/>
        <v>0.33035455301649896</v>
      </c>
    </row>
    <row r="145" spans="42:45">
      <c r="AP145" t="s">
        <v>141</v>
      </c>
      <c r="AQ145" t="s">
        <v>119</v>
      </c>
      <c r="AR145" s="75">
        <v>12131.7871</v>
      </c>
      <c r="AS145" s="277">
        <f t="shared" si="63"/>
        <v>0.17382963056683723</v>
      </c>
    </row>
    <row r="146" spans="42:45">
      <c r="AP146" t="s">
        <v>143</v>
      </c>
      <c r="AQ146" t="s">
        <v>105</v>
      </c>
      <c r="AR146" s="75">
        <v>17191.4817</v>
      </c>
      <c r="AS146" s="277">
        <f t="shared" si="63"/>
        <v>0.33368246308233862</v>
      </c>
    </row>
    <row r="147" spans="42:45">
      <c r="AP147" t="s">
        <v>143</v>
      </c>
      <c r="AQ147" t="s">
        <v>106</v>
      </c>
      <c r="AR147" s="75">
        <v>22736.497299999999</v>
      </c>
      <c r="AS147" s="277">
        <f t="shared" si="63"/>
        <v>0.44130986225166047</v>
      </c>
    </row>
    <row r="148" spans="42:45">
      <c r="AP148" t="s">
        <v>143</v>
      </c>
      <c r="AQ148" t="s">
        <v>123</v>
      </c>
      <c r="AR148" s="75">
        <v>11592.5041</v>
      </c>
      <c r="AS148" s="277">
        <f t="shared" si="63"/>
        <v>0.22500767466600097</v>
      </c>
    </row>
    <row r="149" spans="42:45">
      <c r="AP149" t="s">
        <v>144</v>
      </c>
      <c r="AQ149" t="s">
        <v>125</v>
      </c>
      <c r="AR149" s="75">
        <v>11518.725399999999</v>
      </c>
      <c r="AS149" s="277">
        <f t="shared" si="63"/>
        <v>0.5685947059337656</v>
      </c>
    </row>
    <row r="150" spans="42:45">
      <c r="AP150" t="s">
        <v>24</v>
      </c>
      <c r="AQ150" t="s">
        <v>126</v>
      </c>
      <c r="AR150" s="75">
        <v>8739.51</v>
      </c>
      <c r="AS150" s="277">
        <f t="shared" si="63"/>
        <v>0.43140529406623446</v>
      </c>
    </row>
    <row r="151" spans="42:45">
      <c r="AP151" t="s">
        <v>146</v>
      </c>
      <c r="AQ151" t="s">
        <v>127</v>
      </c>
      <c r="AR151" s="75">
        <v>2599.7966999999999</v>
      </c>
      <c r="AS151" s="277">
        <f t="shared" si="63"/>
        <v>0.17076241811950377</v>
      </c>
    </row>
    <row r="152" spans="42:45">
      <c r="AP152" t="s">
        <v>146</v>
      </c>
      <c r="AQ152" t="s">
        <v>128</v>
      </c>
      <c r="AR152" s="75">
        <v>1032.4983</v>
      </c>
      <c r="AS152" s="277">
        <f t="shared" si="63"/>
        <v>6.7817574509682552E-2</v>
      </c>
    </row>
    <row r="153" spans="42:45">
      <c r="AP153" t="s">
        <v>146</v>
      </c>
      <c r="AQ153" t="s">
        <v>130</v>
      </c>
      <c r="AR153" s="75">
        <v>1625.5998999999999</v>
      </c>
      <c r="AS153" s="277">
        <f t="shared" si="63"/>
        <v>0.10677426039460067</v>
      </c>
    </row>
    <row r="154" spans="42:45">
      <c r="AP154" t="s">
        <v>146</v>
      </c>
      <c r="AQ154" t="s">
        <v>131</v>
      </c>
      <c r="AR154" s="75">
        <v>2880.0880999999999</v>
      </c>
      <c r="AS154" s="277">
        <f t="shared" si="63"/>
        <v>0.18917279507017112</v>
      </c>
    </row>
    <row r="155" spans="42:45">
      <c r="AP155" t="s">
        <v>146</v>
      </c>
      <c r="AQ155" t="s">
        <v>132</v>
      </c>
      <c r="AR155" s="75">
        <v>687.99680000000001</v>
      </c>
      <c r="AS155" s="277">
        <f t="shared" si="63"/>
        <v>4.5189686265268592E-2</v>
      </c>
    </row>
    <row r="156" spans="42:45">
      <c r="AP156" t="s">
        <v>146</v>
      </c>
      <c r="AQ156" t="s">
        <v>133</v>
      </c>
      <c r="AR156" s="75">
        <v>2308.0711000000001</v>
      </c>
      <c r="AS156" s="277">
        <f t="shared" si="63"/>
        <v>0.15160100873569959</v>
      </c>
    </row>
    <row r="157" spans="42:45">
      <c r="AP157" t="s">
        <v>146</v>
      </c>
      <c r="AQ157" t="s">
        <v>134</v>
      </c>
      <c r="AR157" s="75">
        <v>4090.5911999999998</v>
      </c>
      <c r="AS157" s="277">
        <f t="shared" si="63"/>
        <v>0.26868225690507364</v>
      </c>
    </row>
    <row r="158" spans="42:45">
      <c r="AS158" s="277"/>
    </row>
    <row r="159" spans="42:45">
      <c r="AS159" s="277"/>
    </row>
    <row r="160" spans="42:45">
      <c r="AS160" s="277"/>
    </row>
    <row r="161" spans="1:48">
      <c r="AS161" s="277"/>
    </row>
    <row r="162" spans="1:48">
      <c r="AS162" s="277"/>
    </row>
    <row r="163" spans="1:48" ht="20.5">
      <c r="E163" s="364" t="s">
        <v>826</v>
      </c>
      <c r="AS163" s="277"/>
    </row>
    <row r="164" spans="1:48">
      <c r="C164" t="s">
        <v>775</v>
      </c>
      <c r="E164" s="98"/>
      <c r="F164" s="98"/>
      <c r="G164" s="98" t="s">
        <v>764</v>
      </c>
      <c r="H164" s="306" t="s">
        <v>765</v>
      </c>
      <c r="I164" s="363" t="s">
        <v>766</v>
      </c>
      <c r="J164" s="98" t="s">
        <v>767</v>
      </c>
      <c r="K164" s="98" t="s">
        <v>768</v>
      </c>
      <c r="L164" s="98" t="s">
        <v>782</v>
      </c>
      <c r="M164" s="435" t="s">
        <v>783</v>
      </c>
      <c r="N164" s="98" t="s">
        <v>784</v>
      </c>
      <c r="O164" s="98" t="s">
        <v>785</v>
      </c>
      <c r="P164" s="98" t="s">
        <v>786</v>
      </c>
      <c r="Q164" s="98" t="s">
        <v>787</v>
      </c>
      <c r="R164" s="435" t="s">
        <v>788</v>
      </c>
      <c r="S164" s="98" t="s">
        <v>789</v>
      </c>
      <c r="T164" s="98" t="s">
        <v>790</v>
      </c>
      <c r="U164" s="98" t="s">
        <v>791</v>
      </c>
      <c r="V164" s="98" t="s">
        <v>792</v>
      </c>
      <c r="W164" s="435" t="s">
        <v>793</v>
      </c>
      <c r="X164" s="98" t="s">
        <v>794</v>
      </c>
      <c r="Y164" s="98" t="s">
        <v>795</v>
      </c>
      <c r="Z164" s="98" t="s">
        <v>796</v>
      </c>
      <c r="AA164" s="98" t="s">
        <v>797</v>
      </c>
      <c r="AB164" s="435" t="s">
        <v>798</v>
      </c>
      <c r="AC164" s="98" t="s">
        <v>799</v>
      </c>
      <c r="AD164" s="98" t="s">
        <v>800</v>
      </c>
      <c r="AE164" s="98" t="s">
        <v>801</v>
      </c>
      <c r="AF164" s="98" t="s">
        <v>802</v>
      </c>
      <c r="AG164" s="98" t="s">
        <v>803</v>
      </c>
      <c r="AH164" s="98" t="s">
        <v>804</v>
      </c>
      <c r="AI164" s="98" t="s">
        <v>805</v>
      </c>
      <c r="AJ164" s="98" t="s">
        <v>806</v>
      </c>
      <c r="AK164" s="98" t="s">
        <v>807</v>
      </c>
      <c r="AL164" s="98" t="s">
        <v>808</v>
      </c>
      <c r="AM164" s="98" t="s">
        <v>809</v>
      </c>
      <c r="AN164" s="98" t="s">
        <v>810</v>
      </c>
      <c r="AO164" s="98" t="s">
        <v>811</v>
      </c>
      <c r="AP164" s="98" t="s">
        <v>812</v>
      </c>
      <c r="AQ164" s="98" t="s">
        <v>813</v>
      </c>
      <c r="AR164" s="98" t="s">
        <v>814</v>
      </c>
      <c r="AS164" s="98" t="s">
        <v>815</v>
      </c>
      <c r="AT164" s="98" t="s">
        <v>816</v>
      </c>
      <c r="AU164" s="98" t="s">
        <v>817</v>
      </c>
    </row>
    <row r="165" spans="1:48">
      <c r="C165">
        <v>2024</v>
      </c>
      <c r="E165" s="98"/>
      <c r="F165" s="98"/>
      <c r="G165" s="369">
        <v>0</v>
      </c>
      <c r="H165" s="370">
        <v>1</v>
      </c>
      <c r="I165" s="371">
        <v>2</v>
      </c>
      <c r="J165" s="369">
        <v>3</v>
      </c>
      <c r="K165" s="369">
        <v>4</v>
      </c>
      <c r="L165" s="369">
        <v>5</v>
      </c>
      <c r="M165" s="436">
        <v>6</v>
      </c>
      <c r="N165" s="369">
        <v>7</v>
      </c>
      <c r="O165" s="369">
        <v>8</v>
      </c>
      <c r="P165" s="369">
        <v>9</v>
      </c>
      <c r="Q165" s="369">
        <v>10</v>
      </c>
      <c r="R165" s="436">
        <v>11</v>
      </c>
      <c r="S165" s="369">
        <v>12</v>
      </c>
      <c r="T165" s="369">
        <v>13</v>
      </c>
      <c r="U165" s="369">
        <v>14</v>
      </c>
      <c r="V165" s="369">
        <v>15</v>
      </c>
      <c r="W165" s="436">
        <v>16</v>
      </c>
      <c r="X165" s="369">
        <v>17</v>
      </c>
      <c r="Y165" s="369">
        <v>18</v>
      </c>
      <c r="Z165" s="369">
        <v>19</v>
      </c>
      <c r="AA165" s="369">
        <v>20</v>
      </c>
      <c r="AB165" s="436">
        <v>21</v>
      </c>
      <c r="AC165" s="369">
        <v>22</v>
      </c>
      <c r="AD165" s="369">
        <v>23</v>
      </c>
      <c r="AE165" s="369">
        <v>24</v>
      </c>
      <c r="AF165" s="369">
        <v>25</v>
      </c>
      <c r="AG165" s="369">
        <v>26</v>
      </c>
      <c r="AH165" s="369">
        <v>27</v>
      </c>
      <c r="AI165" s="369">
        <v>28</v>
      </c>
      <c r="AJ165" s="369">
        <v>29</v>
      </c>
      <c r="AK165" s="369">
        <v>30</v>
      </c>
      <c r="AL165" s="369">
        <v>31</v>
      </c>
      <c r="AM165" s="369">
        <v>32</v>
      </c>
      <c r="AN165" s="369">
        <v>33</v>
      </c>
      <c r="AO165" s="369">
        <v>34</v>
      </c>
      <c r="AP165" s="369">
        <v>35</v>
      </c>
      <c r="AQ165" s="369">
        <v>36</v>
      </c>
      <c r="AR165" s="369">
        <v>37</v>
      </c>
      <c r="AS165" s="369">
        <v>38</v>
      </c>
      <c r="AT165" s="369">
        <v>39</v>
      </c>
      <c r="AU165" s="369">
        <v>40</v>
      </c>
    </row>
    <row r="166" spans="1:48">
      <c r="E166" s="98" t="s">
        <v>769</v>
      </c>
      <c r="F166" s="98"/>
      <c r="G166" s="365">
        <v>0</v>
      </c>
      <c r="H166" s="366">
        <v>0.1</v>
      </c>
      <c r="I166" s="372">
        <v>0.16669999999999999</v>
      </c>
      <c r="J166" s="365">
        <v>0.23330000000000001</v>
      </c>
      <c r="K166" s="365">
        <v>0.3</v>
      </c>
      <c r="L166" s="365">
        <v>0.36670000000000003</v>
      </c>
      <c r="M166" s="437">
        <v>0.43330000000000002</v>
      </c>
      <c r="N166" s="365">
        <v>0.5</v>
      </c>
      <c r="O166" s="365">
        <v>0.56669999999999998</v>
      </c>
      <c r="P166" s="365">
        <v>0.63329999999999997</v>
      </c>
      <c r="Q166" s="365">
        <v>0.7</v>
      </c>
      <c r="R166" s="437">
        <v>0.72</v>
      </c>
      <c r="S166" s="365">
        <v>0.74</v>
      </c>
      <c r="T166" s="365">
        <v>0.76</v>
      </c>
      <c r="U166" s="365">
        <v>0.78</v>
      </c>
      <c r="V166" s="365">
        <v>0.8</v>
      </c>
      <c r="W166" s="437">
        <v>0.82</v>
      </c>
      <c r="X166" s="365">
        <v>0.84</v>
      </c>
      <c r="Y166" s="365">
        <v>0.86</v>
      </c>
      <c r="Z166" s="365">
        <v>0.88</v>
      </c>
      <c r="AA166" s="365">
        <v>0.9</v>
      </c>
      <c r="AB166" s="437">
        <v>0.89500000000000002</v>
      </c>
      <c r="AC166" s="365">
        <v>0.89</v>
      </c>
      <c r="AD166" s="365">
        <v>0.88500000000000001</v>
      </c>
      <c r="AE166" s="365">
        <v>0.88</v>
      </c>
      <c r="AF166" s="365">
        <v>0.875</v>
      </c>
      <c r="AG166" s="365">
        <v>0.87</v>
      </c>
      <c r="AH166" s="365">
        <v>0.86499999999999999</v>
      </c>
      <c r="AI166" s="365">
        <v>0.86</v>
      </c>
      <c r="AJ166" s="365">
        <v>0.85499999999999998</v>
      </c>
      <c r="AK166" s="365">
        <v>0.85</v>
      </c>
      <c r="AL166" s="381">
        <f>$AK$166*(1+$AV$166*1)</f>
        <v>0.85212499999999991</v>
      </c>
      <c r="AM166" s="381">
        <f>$AK$166*(1+$AV$166*2)</f>
        <v>0.85424999999999984</v>
      </c>
      <c r="AN166" s="381">
        <f>$AK$166*(1+$AV$166*3)</f>
        <v>0.856375</v>
      </c>
      <c r="AO166" s="381">
        <f>$AK$166*(1+$AV$166*4)</f>
        <v>0.85849999999999993</v>
      </c>
      <c r="AP166" s="381">
        <f>$AK$166*(1+$AV$166*5)</f>
        <v>0.86062499999999997</v>
      </c>
      <c r="AQ166" s="381">
        <f>$AK$166*(1+$AV$166*6)</f>
        <v>0.86275000000000013</v>
      </c>
      <c r="AR166" s="381">
        <f>$AK$166*(1+$AV$166*7)</f>
        <v>0.86487500000000006</v>
      </c>
      <c r="AS166" s="381">
        <f>$AK$166*(1+$AV$166*8)</f>
        <v>0.86699999999999999</v>
      </c>
      <c r="AT166" s="381">
        <f>$AK$166*(1+$AV$166*9)</f>
        <v>0.86912499999999993</v>
      </c>
      <c r="AU166" s="365">
        <v>0.875</v>
      </c>
      <c r="AV166" s="355">
        <f>(AU166-AK166)/10</f>
        <v>2.5000000000000022E-3</v>
      </c>
    </row>
    <row r="168" spans="1:48">
      <c r="S168" t="s">
        <v>762</v>
      </c>
    </row>
    <row r="169" spans="1:48" ht="17.5" thickBot="1">
      <c r="S169" s="362" t="s">
        <v>761</v>
      </c>
    </row>
    <row r="170" spans="1:48" ht="25.5" thickTop="1">
      <c r="A170" t="s">
        <v>746</v>
      </c>
      <c r="S170" s="576" t="s">
        <v>748</v>
      </c>
      <c r="T170" s="577"/>
      <c r="U170" s="1" t="s">
        <v>749</v>
      </c>
      <c r="V170" s="1" t="s">
        <v>751</v>
      </c>
      <c r="W170" s="1" t="s">
        <v>753</v>
      </c>
      <c r="X170" s="602" t="s">
        <v>754</v>
      </c>
    </row>
    <row r="171" spans="1:48" ht="17.5" thickBot="1">
      <c r="S171" s="578"/>
      <c r="T171" s="579"/>
      <c r="U171" s="3" t="s">
        <v>750</v>
      </c>
      <c r="V171" s="3" t="s">
        <v>752</v>
      </c>
      <c r="W171" s="3" t="s">
        <v>752</v>
      </c>
      <c r="X171" s="603"/>
    </row>
    <row r="172" spans="1:48" ht="17.5" thickTop="1">
      <c r="S172" s="354" t="s">
        <v>50</v>
      </c>
      <c r="T172" s="6" t="s">
        <v>755</v>
      </c>
      <c r="U172" s="6">
        <v>1</v>
      </c>
      <c r="V172" s="356">
        <v>0.5</v>
      </c>
      <c r="W172" s="356">
        <v>0.5</v>
      </c>
      <c r="X172" s="357">
        <v>0.38</v>
      </c>
    </row>
    <row r="173" spans="1:48" ht="28.5">
      <c r="S173" s="604" t="s">
        <v>756</v>
      </c>
      <c r="T173" s="358" t="s">
        <v>757</v>
      </c>
      <c r="U173" s="606">
        <v>4.5</v>
      </c>
      <c r="V173" s="590">
        <v>0.5</v>
      </c>
      <c r="W173" s="590">
        <v>0.5</v>
      </c>
      <c r="X173" s="592">
        <v>0.20799999999999999</v>
      </c>
    </row>
    <row r="174" spans="1:48">
      <c r="S174" s="605"/>
      <c r="T174" s="359" t="s">
        <v>758</v>
      </c>
      <c r="U174" s="607"/>
      <c r="V174" s="591"/>
      <c r="W174" s="591"/>
      <c r="X174" s="593"/>
    </row>
    <row r="175" spans="1:48" ht="54" thickBot="1">
      <c r="A175" s="26" t="s">
        <v>48</v>
      </c>
      <c r="S175" s="24" t="s">
        <v>52</v>
      </c>
      <c r="T175" s="16" t="s">
        <v>759</v>
      </c>
      <c r="U175" s="16">
        <v>8</v>
      </c>
      <c r="V175" s="360">
        <v>0.5</v>
      </c>
      <c r="W175" s="360">
        <v>0.5</v>
      </c>
      <c r="X175" s="361">
        <v>0.41199999999999998</v>
      </c>
    </row>
    <row r="176" spans="1:48" ht="21.5" thickTop="1" thickBot="1">
      <c r="B176" s="25" t="s">
        <v>69</v>
      </c>
      <c r="K176" t="s">
        <v>747</v>
      </c>
      <c r="S176" s="362" t="s">
        <v>760</v>
      </c>
    </row>
    <row r="177" spans="2:36" ht="17.5" thickTop="1">
      <c r="B177" s="595" t="s">
        <v>49</v>
      </c>
      <c r="C177" s="587" t="s">
        <v>50</v>
      </c>
      <c r="D177" s="597"/>
      <c r="E177" s="587" t="s">
        <v>51</v>
      </c>
      <c r="F177" s="597"/>
      <c r="G177" s="587" t="s">
        <v>52</v>
      </c>
      <c r="H177" s="597"/>
      <c r="I177" s="587" t="s">
        <v>53</v>
      </c>
      <c r="J177" s="588"/>
      <c r="K177" s="589"/>
    </row>
    <row r="178" spans="2:36" ht="30.5" thickBot="1">
      <c r="B178" s="596"/>
      <c r="C178" s="27" t="s">
        <v>40</v>
      </c>
      <c r="D178" s="27" t="s">
        <v>41</v>
      </c>
      <c r="E178" s="27" t="s">
        <v>40</v>
      </c>
      <c r="F178" s="27" t="s">
        <v>41</v>
      </c>
      <c r="G178" s="27" t="s">
        <v>40</v>
      </c>
      <c r="H178" s="27" t="s">
        <v>41</v>
      </c>
      <c r="I178" s="27" t="s">
        <v>40</v>
      </c>
      <c r="J178" s="27" t="s">
        <v>41</v>
      </c>
      <c r="K178" s="28" t="s">
        <v>21</v>
      </c>
      <c r="L178" s="28" t="s">
        <v>21</v>
      </c>
      <c r="P178" s="397">
        <v>2025</v>
      </c>
      <c r="Q178" s="395"/>
      <c r="R178" s="395"/>
      <c r="S178" s="395"/>
      <c r="T178" s="395"/>
      <c r="U178" s="395"/>
      <c r="V178" s="395"/>
      <c r="W178" s="395"/>
      <c r="X178" s="395"/>
      <c r="Y178" s="395"/>
      <c r="Z178" s="395"/>
      <c r="AA178" s="395"/>
      <c r="AB178" s="395"/>
      <c r="AC178" s="395"/>
      <c r="AD178" s="395"/>
      <c r="AE178" s="395"/>
      <c r="AF178" s="395"/>
      <c r="AG178" s="395"/>
      <c r="AH178" s="395"/>
      <c r="AI178" s="395"/>
      <c r="AJ178" s="395"/>
    </row>
    <row r="179" spans="2:36" ht="24" thickTop="1" thickBot="1">
      <c r="B179" s="22" t="s">
        <v>54</v>
      </c>
      <c r="C179" s="6">
        <v>15</v>
      </c>
      <c r="D179" s="6">
        <v>15</v>
      </c>
      <c r="E179" s="6">
        <v>8</v>
      </c>
      <c r="F179" s="6">
        <v>8</v>
      </c>
      <c r="G179" s="6">
        <v>16</v>
      </c>
      <c r="H179" s="6">
        <v>16</v>
      </c>
      <c r="I179" s="6">
        <v>39</v>
      </c>
      <c r="J179" s="6">
        <v>39</v>
      </c>
      <c r="K179" s="7">
        <v>78</v>
      </c>
      <c r="L179" s="7">
        <v>78</v>
      </c>
      <c r="Q179" s="353" t="s">
        <v>822</v>
      </c>
      <c r="AB179" s="353" t="s">
        <v>824</v>
      </c>
    </row>
    <row r="180" spans="2:36" ht="32">
      <c r="B180" s="23" t="s">
        <v>55</v>
      </c>
      <c r="C180" s="9">
        <v>17</v>
      </c>
      <c r="D180" s="9">
        <v>17</v>
      </c>
      <c r="E180" s="9">
        <v>9</v>
      </c>
      <c r="F180" s="9">
        <v>9</v>
      </c>
      <c r="G180" s="9">
        <v>18</v>
      </c>
      <c r="H180" s="9">
        <v>18</v>
      </c>
      <c r="I180" s="9">
        <v>44</v>
      </c>
      <c r="J180" s="9">
        <v>44</v>
      </c>
      <c r="K180" s="10">
        <v>88</v>
      </c>
      <c r="L180" s="10">
        <v>88</v>
      </c>
      <c r="S180" s="306" t="s">
        <v>564</v>
      </c>
      <c r="T180" s="306" t="s">
        <v>565</v>
      </c>
      <c r="U180" s="306" t="s">
        <v>566</v>
      </c>
      <c r="V180" s="383" t="s">
        <v>562</v>
      </c>
      <c r="W180" s="385" t="s">
        <v>597</v>
      </c>
      <c r="X180" s="386" t="s">
        <v>821</v>
      </c>
      <c r="AB180" s="101" t="s">
        <v>564</v>
      </c>
      <c r="AC180" s="101" t="s">
        <v>565</v>
      </c>
      <c r="AD180" s="101" t="s">
        <v>566</v>
      </c>
      <c r="AE180" s="389" t="s">
        <v>562</v>
      </c>
      <c r="AF180" s="390" t="s">
        <v>597</v>
      </c>
      <c r="AG180" s="391" t="s">
        <v>821</v>
      </c>
    </row>
    <row r="181" spans="2:36" ht="32">
      <c r="B181" s="23" t="s">
        <v>56</v>
      </c>
      <c r="C181" s="9">
        <v>17</v>
      </c>
      <c r="D181" s="9">
        <v>17</v>
      </c>
      <c r="E181" s="9">
        <v>9</v>
      </c>
      <c r="F181" s="9">
        <v>9</v>
      </c>
      <c r="G181" s="9">
        <v>18</v>
      </c>
      <c r="H181" s="9">
        <v>18</v>
      </c>
      <c r="I181" s="9">
        <v>44</v>
      </c>
      <c r="J181" s="9">
        <v>44</v>
      </c>
      <c r="K181" s="10">
        <v>88</v>
      </c>
      <c r="L181" s="10">
        <v>88</v>
      </c>
      <c r="S181" s="306" t="s">
        <v>141</v>
      </c>
      <c r="T181" s="306" t="s">
        <v>818</v>
      </c>
      <c r="U181" s="306">
        <v>2607.4872</v>
      </c>
      <c r="V181" s="384">
        <v>3.7361234000204045E-2</v>
      </c>
      <c r="W181" s="387">
        <v>859028</v>
      </c>
      <c r="X181" s="398">
        <f>$J$195*V181 * (1+KTDB_발생량도착량_증가율!$D$12*5) * (1+KTDB_발생량도착량_증가율!$E$12*5) * (1+KTDB_발생량도착량_증가율!$F$12*5) * (1+KTDB_발생량도착량_증가율!$G$12*5)</f>
        <v>77.825471867301246</v>
      </c>
      <c r="AB181" s="101" t="s">
        <v>141</v>
      </c>
      <c r="AC181" s="101" t="s">
        <v>818</v>
      </c>
      <c r="AD181" s="101">
        <v>2607.4872</v>
      </c>
      <c r="AE181" s="392">
        <v>3.7361234000204045E-2</v>
      </c>
      <c r="AF181" s="393">
        <v>859028</v>
      </c>
      <c r="AG181" s="398">
        <f>X181*$AB$166</f>
        <v>69.65379732123462</v>
      </c>
    </row>
    <row r="182" spans="2:36" ht="32">
      <c r="B182" s="23" t="s">
        <v>57</v>
      </c>
      <c r="C182" s="9">
        <v>60</v>
      </c>
      <c r="D182" s="9">
        <v>60</v>
      </c>
      <c r="E182" s="9">
        <v>33</v>
      </c>
      <c r="F182" s="9">
        <v>33</v>
      </c>
      <c r="G182" s="9">
        <v>65</v>
      </c>
      <c r="H182" s="9">
        <v>65</v>
      </c>
      <c r="I182" s="9">
        <v>158</v>
      </c>
      <c r="J182" s="9">
        <v>158</v>
      </c>
      <c r="K182" s="10">
        <v>316</v>
      </c>
      <c r="L182" s="10">
        <v>316</v>
      </c>
      <c r="S182" s="306" t="s">
        <v>819</v>
      </c>
      <c r="T182" s="306" t="s">
        <v>103</v>
      </c>
      <c r="U182" s="306">
        <v>15824.4439</v>
      </c>
      <c r="V182" s="384">
        <v>0.22673965627559034</v>
      </c>
      <c r="W182" s="387">
        <v>859029</v>
      </c>
      <c r="X182" s="398">
        <f>$J$195*V182 * (1+KTDB_발생량도착량_증가율!$D$12*5) * (1+KTDB_발생량도착량_증가율!$E$12*5) * (1+KTDB_발생량도착량_증가율!$F$12*5) * (1+KTDB_발생량도착량_증가율!$G$12*5)</f>
        <v>472.3109718640755</v>
      </c>
      <c r="AB182" s="101" t="s">
        <v>819</v>
      </c>
      <c r="AC182" s="101" t="s">
        <v>103</v>
      </c>
      <c r="AD182" s="101">
        <v>15824.4439</v>
      </c>
      <c r="AE182" s="392">
        <v>0.22673965627559034</v>
      </c>
      <c r="AF182" s="393">
        <v>859029</v>
      </c>
      <c r="AG182" s="398">
        <f t="shared" ref="AG182:AG186" si="69">X182*$AB$166</f>
        <v>422.7183198183476</v>
      </c>
    </row>
    <row r="183" spans="2:36" ht="32">
      <c r="B183" s="23" t="s">
        <v>58</v>
      </c>
      <c r="C183" s="9">
        <v>103</v>
      </c>
      <c r="D183" s="9">
        <v>103</v>
      </c>
      <c r="E183" s="9">
        <v>56</v>
      </c>
      <c r="F183" s="9">
        <v>56</v>
      </c>
      <c r="G183" s="9">
        <v>112</v>
      </c>
      <c r="H183" s="9">
        <v>112</v>
      </c>
      <c r="I183" s="9">
        <v>271</v>
      </c>
      <c r="J183" s="9">
        <v>271</v>
      </c>
      <c r="K183" s="10">
        <v>542</v>
      </c>
      <c r="L183" s="10">
        <v>542</v>
      </c>
      <c r="S183" s="306" t="s">
        <v>819</v>
      </c>
      <c r="T183" s="306" t="s">
        <v>104</v>
      </c>
      <c r="U183" s="306">
        <v>11511.7454</v>
      </c>
      <c r="V183" s="384">
        <v>0.16494539786817458</v>
      </c>
      <c r="W183" s="387">
        <v>859030</v>
      </c>
      <c r="X183" s="398">
        <f>$J$195*V183 * (1+KTDB_발생량도착량_증가율!$D$12*5) * (1+KTDB_발생량도착량_증가율!$E$12*5) * (1+KTDB_발생량도착량_증가율!$F$12*5) * (1+KTDB_발생량도착량_증가율!$G$12*5)</f>
        <v>343.59018819775395</v>
      </c>
      <c r="AB183" s="101" t="s">
        <v>819</v>
      </c>
      <c r="AC183" s="101" t="s">
        <v>104</v>
      </c>
      <c r="AD183" s="101">
        <v>11511.7454</v>
      </c>
      <c r="AE183" s="392">
        <v>0.16494539786817458</v>
      </c>
      <c r="AF183" s="393">
        <v>859030</v>
      </c>
      <c r="AG183" s="398">
        <f t="shared" si="69"/>
        <v>307.5132184369898</v>
      </c>
    </row>
    <row r="184" spans="2:36" ht="32">
      <c r="B184" s="23" t="s">
        <v>59</v>
      </c>
      <c r="C184" s="9">
        <v>94</v>
      </c>
      <c r="D184" s="9">
        <v>94</v>
      </c>
      <c r="E184" s="9">
        <v>52</v>
      </c>
      <c r="F184" s="9">
        <v>52</v>
      </c>
      <c r="G184" s="9">
        <v>103</v>
      </c>
      <c r="H184" s="9">
        <v>103</v>
      </c>
      <c r="I184" s="9">
        <v>249</v>
      </c>
      <c r="J184" s="9">
        <v>249</v>
      </c>
      <c r="K184" s="10">
        <v>498</v>
      </c>
      <c r="L184" s="10">
        <v>498</v>
      </c>
      <c r="S184" s="306" t="s">
        <v>819</v>
      </c>
      <c r="T184" s="306" t="s">
        <v>117</v>
      </c>
      <c r="U184" s="306">
        <v>4659.9287999999997</v>
      </c>
      <c r="V184" s="384">
        <v>6.6769528272694875E-2</v>
      </c>
      <c r="W184" s="387">
        <v>859031</v>
      </c>
      <c r="X184" s="398">
        <f>$J$195*V184 * (1+KTDB_발생량도착량_증가율!$D$12*5) * (1+KTDB_발생량도착량_증가율!$E$12*5) * (1+KTDB_발생량도착량_증가율!$F$12*5) * (1+KTDB_발생량도착량_증가율!$G$12*5)</f>
        <v>139.08453998471282</v>
      </c>
      <c r="AB184" s="101" t="s">
        <v>819</v>
      </c>
      <c r="AC184" s="101" t="s">
        <v>117</v>
      </c>
      <c r="AD184" s="101">
        <v>4659.9287999999997</v>
      </c>
      <c r="AE184" s="392">
        <v>6.6769528272694875E-2</v>
      </c>
      <c r="AF184" s="393">
        <v>859031</v>
      </c>
      <c r="AG184" s="398">
        <f t="shared" si="69"/>
        <v>124.48066328631798</v>
      </c>
    </row>
    <row r="185" spans="2:36" ht="32">
      <c r="B185" s="23" t="s">
        <v>60</v>
      </c>
      <c r="C185" s="9">
        <v>26</v>
      </c>
      <c r="D185" s="9">
        <v>26</v>
      </c>
      <c r="E185" s="9">
        <v>14</v>
      </c>
      <c r="F185" s="9">
        <v>14</v>
      </c>
      <c r="G185" s="9">
        <v>28</v>
      </c>
      <c r="H185" s="9">
        <v>28</v>
      </c>
      <c r="I185" s="9">
        <v>68</v>
      </c>
      <c r="J185" s="9">
        <v>68</v>
      </c>
      <c r="K185" s="10">
        <v>136</v>
      </c>
      <c r="L185" s="10">
        <v>136</v>
      </c>
      <c r="S185" s="306" t="s">
        <v>819</v>
      </c>
      <c r="T185" s="306" t="s">
        <v>118</v>
      </c>
      <c r="U185" s="306">
        <v>23055.857</v>
      </c>
      <c r="V185" s="384">
        <v>0.33035455301649896</v>
      </c>
      <c r="W185" s="387">
        <v>859032</v>
      </c>
      <c r="X185" s="398">
        <f>$J$195*V185 * (1+KTDB_발생량도착량_증가율!$D$12*5) * (1+KTDB_발생량도착량_증가율!$E$12*5) * (1+KTDB_발생량도착량_증가율!$F$12*5) * (1+KTDB_발생량도착량_증가율!$G$12*5)</f>
        <v>688.14640790183773</v>
      </c>
      <c r="AB185" s="101" t="s">
        <v>819</v>
      </c>
      <c r="AC185" s="101" t="s">
        <v>118</v>
      </c>
      <c r="AD185" s="101">
        <v>23055.857</v>
      </c>
      <c r="AE185" s="392">
        <v>0.33035455301649896</v>
      </c>
      <c r="AF185" s="393">
        <v>859032</v>
      </c>
      <c r="AG185" s="398">
        <f t="shared" si="69"/>
        <v>615.89103507214475</v>
      </c>
    </row>
    <row r="186" spans="2:36" ht="32.5" thickBot="1">
      <c r="B186" s="23" t="s">
        <v>61</v>
      </c>
      <c r="C186" s="9">
        <v>69</v>
      </c>
      <c r="D186" s="9">
        <v>69</v>
      </c>
      <c r="E186" s="9">
        <v>38</v>
      </c>
      <c r="F186" s="9">
        <v>38</v>
      </c>
      <c r="G186" s="9">
        <v>74</v>
      </c>
      <c r="H186" s="9">
        <v>74</v>
      </c>
      <c r="I186" s="9">
        <v>181</v>
      </c>
      <c r="J186" s="9">
        <v>181</v>
      </c>
      <c r="K186" s="10">
        <v>362</v>
      </c>
      <c r="L186" s="10">
        <v>362</v>
      </c>
      <c r="S186" s="306" t="s">
        <v>819</v>
      </c>
      <c r="T186" s="306" t="s">
        <v>119</v>
      </c>
      <c r="U186" s="306">
        <v>12131.7871</v>
      </c>
      <c r="V186" s="384">
        <v>0.17382963056683723</v>
      </c>
      <c r="W186" s="388">
        <v>859033</v>
      </c>
      <c r="X186" s="399">
        <f>$J$195*V186 * (1+KTDB_발생량도착량_증가율!$D$12*5) * (1+KTDB_발생량도착량_증가율!$E$12*5) * (1+KTDB_발생량도착량_증가율!$F$12*5) * (1+KTDB_발생량도착량_증가율!$G$12*5)</f>
        <v>362.09652559411927</v>
      </c>
      <c r="AB186" s="101" t="s">
        <v>819</v>
      </c>
      <c r="AC186" s="101" t="s">
        <v>119</v>
      </c>
      <c r="AD186" s="101">
        <v>12131.7871</v>
      </c>
      <c r="AE186" s="392">
        <v>0.17382963056683723</v>
      </c>
      <c r="AF186" s="394">
        <v>859033</v>
      </c>
      <c r="AG186" s="399">
        <f t="shared" si="69"/>
        <v>324.07639040673678</v>
      </c>
    </row>
    <row r="187" spans="2:36" ht="32">
      <c r="B187" s="23" t="s">
        <v>62</v>
      </c>
      <c r="C187" s="9">
        <v>60</v>
      </c>
      <c r="D187" s="9">
        <v>60</v>
      </c>
      <c r="E187" s="9">
        <v>33</v>
      </c>
      <c r="F187" s="9">
        <v>33</v>
      </c>
      <c r="G187" s="9">
        <v>65</v>
      </c>
      <c r="H187" s="9">
        <v>65</v>
      </c>
      <c r="I187" s="9">
        <v>158</v>
      </c>
      <c r="J187" s="9">
        <v>158</v>
      </c>
      <c r="K187" s="10">
        <v>316</v>
      </c>
      <c r="L187" s="10">
        <v>316</v>
      </c>
      <c r="U187" s="382">
        <f>SUM(U181:U186)</f>
        <v>69791.249400000001</v>
      </c>
      <c r="V187" s="382">
        <f>SUM(V181:V186)</f>
        <v>1</v>
      </c>
      <c r="X187">
        <f>SUM(X181:X186)</f>
        <v>2083.0541054098003</v>
      </c>
      <c r="AG187">
        <f>SUM(AG181:AG186)</f>
        <v>1864.3334243417717</v>
      </c>
    </row>
    <row r="188" spans="2:36" ht="32">
      <c r="B188" s="23" t="s">
        <v>63</v>
      </c>
      <c r="C188" s="9">
        <v>69</v>
      </c>
      <c r="D188" s="9">
        <v>69</v>
      </c>
      <c r="E188" s="9">
        <v>38</v>
      </c>
      <c r="F188" s="9">
        <v>38</v>
      </c>
      <c r="G188" s="9">
        <v>74</v>
      </c>
      <c r="H188" s="9">
        <v>74</v>
      </c>
      <c r="I188" s="9">
        <v>181</v>
      </c>
      <c r="J188" s="9">
        <v>181</v>
      </c>
      <c r="K188" s="10">
        <v>362</v>
      </c>
      <c r="L188" s="10">
        <v>362</v>
      </c>
      <c r="P188" s="396">
        <v>2025</v>
      </c>
      <c r="Q188" s="395"/>
      <c r="R188" s="395"/>
      <c r="S188" s="395"/>
      <c r="T188" s="395"/>
      <c r="U188" s="395"/>
      <c r="V188" s="395"/>
      <c r="W188" s="395"/>
      <c r="X188" s="395"/>
      <c r="Y188" s="395"/>
      <c r="Z188" s="395"/>
      <c r="AA188" s="395"/>
      <c r="AB188" s="395"/>
      <c r="AC188" s="395"/>
      <c r="AD188" s="395"/>
      <c r="AE188" s="395"/>
      <c r="AF188" s="395"/>
      <c r="AG188" s="395"/>
      <c r="AH188" s="395"/>
      <c r="AI188" s="395"/>
      <c r="AJ188" s="395"/>
    </row>
    <row r="189" spans="2:36" ht="32.5" thickBot="1">
      <c r="B189" s="23" t="s">
        <v>64</v>
      </c>
      <c r="C189" s="9">
        <v>77</v>
      </c>
      <c r="D189" s="9">
        <v>77</v>
      </c>
      <c r="E189" s="9">
        <v>42</v>
      </c>
      <c r="F189" s="9">
        <v>42</v>
      </c>
      <c r="G189" s="9">
        <v>84</v>
      </c>
      <c r="H189" s="9">
        <v>84</v>
      </c>
      <c r="I189" s="9">
        <v>203</v>
      </c>
      <c r="J189" s="9">
        <v>203</v>
      </c>
      <c r="K189" s="10">
        <v>406</v>
      </c>
      <c r="L189" s="10">
        <v>406</v>
      </c>
      <c r="Q189" s="353" t="s">
        <v>823</v>
      </c>
    </row>
    <row r="190" spans="2:36" ht="32">
      <c r="B190" s="23" t="s">
        <v>65</v>
      </c>
      <c r="C190" s="9">
        <v>77</v>
      </c>
      <c r="D190" s="9">
        <v>77</v>
      </c>
      <c r="E190" s="9">
        <v>42</v>
      </c>
      <c r="F190" s="9">
        <v>42</v>
      </c>
      <c r="G190" s="9">
        <v>84</v>
      </c>
      <c r="H190" s="9">
        <v>84</v>
      </c>
      <c r="I190" s="9">
        <v>203</v>
      </c>
      <c r="J190" s="9">
        <v>203</v>
      </c>
      <c r="K190" s="10">
        <v>406</v>
      </c>
      <c r="L190" s="10">
        <v>406</v>
      </c>
      <c r="S190" s="306" t="s">
        <v>564</v>
      </c>
      <c r="T190" s="306" t="s">
        <v>565</v>
      </c>
      <c r="U190" s="306" t="s">
        <v>566</v>
      </c>
      <c r="V190" s="383" t="s">
        <v>562</v>
      </c>
      <c r="W190" s="385" t="s">
        <v>597</v>
      </c>
      <c r="X190" s="386" t="s">
        <v>821</v>
      </c>
      <c r="AB190" s="101" t="s">
        <v>564</v>
      </c>
      <c r="AC190" s="101" t="s">
        <v>565</v>
      </c>
      <c r="AD190" s="101" t="s">
        <v>566</v>
      </c>
      <c r="AE190" s="389" t="s">
        <v>562</v>
      </c>
      <c r="AF190" s="390" t="s">
        <v>597</v>
      </c>
      <c r="AG190" s="391" t="s">
        <v>821</v>
      </c>
    </row>
    <row r="191" spans="2:36" ht="32">
      <c r="B191" s="23" t="s">
        <v>66</v>
      </c>
      <c r="C191" s="9">
        <v>43</v>
      </c>
      <c r="D191" s="9">
        <v>43</v>
      </c>
      <c r="E191" s="9">
        <v>24</v>
      </c>
      <c r="F191" s="9">
        <v>24</v>
      </c>
      <c r="G191" s="9">
        <v>47</v>
      </c>
      <c r="H191" s="9">
        <v>47</v>
      </c>
      <c r="I191" s="9">
        <v>114</v>
      </c>
      <c r="J191" s="9">
        <v>114</v>
      </c>
      <c r="K191" s="10">
        <v>228</v>
      </c>
      <c r="L191" s="10">
        <v>228</v>
      </c>
      <c r="S191" s="306" t="s">
        <v>141</v>
      </c>
      <c r="T191" s="306" t="s">
        <v>818</v>
      </c>
      <c r="U191" s="306">
        <v>2607.4872</v>
      </c>
      <c r="V191" s="384">
        <v>3.7361234000204045E-2</v>
      </c>
      <c r="W191" s="387">
        <v>859028</v>
      </c>
      <c r="X191" s="398">
        <f>$J$195*V191 * (1+KTDB_발생량도착량_증가율!$D$12*5) * (1+KTDB_발생량도착량_증가율!$E$12*5) * (1+KTDB_발생량도착량_증가율!$F$12*5) * (1+KTDB_발생량도착량_증가율!$G$12*5)</f>
        <v>77.825471867301246</v>
      </c>
      <c r="AB191" s="101" t="s">
        <v>141</v>
      </c>
      <c r="AC191" s="101" t="s">
        <v>818</v>
      </c>
      <c r="AD191" s="101">
        <v>2607.4872</v>
      </c>
      <c r="AE191" s="392">
        <v>3.7361234000204045E-2</v>
      </c>
      <c r="AF191" s="393">
        <v>859028</v>
      </c>
      <c r="AG191" s="398">
        <f t="shared" ref="AG191:AG196" si="70">X191*$AB$166</f>
        <v>69.65379732123462</v>
      </c>
    </row>
    <row r="192" spans="2:36" ht="32">
      <c r="B192" s="23" t="s">
        <v>67</v>
      </c>
      <c r="C192" s="9">
        <v>9</v>
      </c>
      <c r="D192" s="9">
        <v>9</v>
      </c>
      <c r="E192" s="9">
        <v>5</v>
      </c>
      <c r="F192" s="9">
        <v>5</v>
      </c>
      <c r="G192" s="9">
        <v>10</v>
      </c>
      <c r="H192" s="9">
        <v>10</v>
      </c>
      <c r="I192" s="9">
        <v>24</v>
      </c>
      <c r="J192" s="9">
        <v>24</v>
      </c>
      <c r="K192" s="10">
        <v>48</v>
      </c>
      <c r="L192" s="10">
        <v>48</v>
      </c>
      <c r="S192" s="306" t="s">
        <v>819</v>
      </c>
      <c r="T192" s="306" t="s">
        <v>103</v>
      </c>
      <c r="U192" s="306">
        <v>15824.4439</v>
      </c>
      <c r="V192" s="384">
        <v>0.22673965627559034</v>
      </c>
      <c r="W192" s="387">
        <v>859029</v>
      </c>
      <c r="X192" s="398">
        <f>$J$195*V192 * (1+KTDB_발생량도착량_증가율!$D$12*5) * (1+KTDB_발생량도착량_증가율!$E$12*5) * (1+KTDB_발생량도착량_증가율!$F$12*5) * (1+KTDB_발생량도착량_증가율!$G$12*5)</f>
        <v>472.3109718640755</v>
      </c>
      <c r="AB192" s="101" t="s">
        <v>819</v>
      </c>
      <c r="AC192" s="101" t="s">
        <v>103</v>
      </c>
      <c r="AD192" s="101">
        <v>15824.4439</v>
      </c>
      <c r="AE192" s="392">
        <v>0.22673965627559034</v>
      </c>
      <c r="AF192" s="393">
        <v>859029</v>
      </c>
      <c r="AG192" s="398">
        <f t="shared" si="70"/>
        <v>422.7183198183476</v>
      </c>
    </row>
    <row r="193" spans="2:33" ht="32">
      <c r="B193" s="23" t="s">
        <v>68</v>
      </c>
      <c r="C193" s="9">
        <v>1</v>
      </c>
      <c r="D193" s="9">
        <v>1</v>
      </c>
      <c r="E193" s="9">
        <v>1</v>
      </c>
      <c r="F193" s="9">
        <v>1</v>
      </c>
      <c r="G193" s="9">
        <v>1</v>
      </c>
      <c r="H193" s="9">
        <v>1</v>
      </c>
      <c r="I193" s="9">
        <v>3</v>
      </c>
      <c r="J193" s="9">
        <v>3</v>
      </c>
      <c r="K193" s="10">
        <v>6</v>
      </c>
      <c r="L193" s="10">
        <v>6</v>
      </c>
      <c r="S193" s="306" t="s">
        <v>819</v>
      </c>
      <c r="T193" s="306" t="s">
        <v>104</v>
      </c>
      <c r="U193" s="306">
        <v>11511.7454</v>
      </c>
      <c r="V193" s="384">
        <v>0.16494539786817458</v>
      </c>
      <c r="W193" s="387">
        <v>859030</v>
      </c>
      <c r="X193" s="398">
        <f>$J$195*V193 * (1+KTDB_발생량도착량_증가율!$D$12*5) * (1+KTDB_발생량도착량_증가율!$E$12*5) * (1+KTDB_발생량도착량_증가율!$F$12*5) * (1+KTDB_발생량도착량_증가율!$G$12*5)</f>
        <v>343.59018819775395</v>
      </c>
      <c r="AB193" s="101" t="s">
        <v>819</v>
      </c>
      <c r="AC193" s="101" t="s">
        <v>104</v>
      </c>
      <c r="AD193" s="101">
        <v>11511.7454</v>
      </c>
      <c r="AE193" s="392">
        <v>0.16494539786817458</v>
      </c>
      <c r="AF193" s="393">
        <v>859030</v>
      </c>
      <c r="AG193" s="398">
        <f t="shared" si="70"/>
        <v>307.5132184369898</v>
      </c>
    </row>
    <row r="194" spans="2:33">
      <c r="B194" s="23" t="s">
        <v>42</v>
      </c>
      <c r="C194" s="9">
        <v>1</v>
      </c>
      <c r="D194" s="9">
        <v>1</v>
      </c>
      <c r="E194" s="9">
        <v>0</v>
      </c>
      <c r="F194" s="9">
        <v>0</v>
      </c>
      <c r="G194" s="9">
        <v>1</v>
      </c>
      <c r="H194" s="9">
        <v>1</v>
      </c>
      <c r="I194" s="9">
        <v>2</v>
      </c>
      <c r="J194" s="9">
        <v>2</v>
      </c>
      <c r="K194" s="10">
        <v>4</v>
      </c>
      <c r="L194" s="10">
        <v>4</v>
      </c>
      <c r="S194" s="306" t="s">
        <v>819</v>
      </c>
      <c r="T194" s="306" t="s">
        <v>117</v>
      </c>
      <c r="U194" s="306">
        <v>4659.9287999999997</v>
      </c>
      <c r="V194" s="384">
        <v>6.6769528272694875E-2</v>
      </c>
      <c r="W194" s="387">
        <v>859031</v>
      </c>
      <c r="X194" s="398">
        <f>$J$195*V194 * (1+KTDB_발생량도착량_증가율!$D$12*5) * (1+KTDB_발생량도착량_증가율!$E$12*5) * (1+KTDB_발생량도착량_증가율!$F$12*5) * (1+KTDB_발생량도착량_증가율!$G$12*5)</f>
        <v>139.08453998471282</v>
      </c>
      <c r="AB194" s="101" t="s">
        <v>819</v>
      </c>
      <c r="AC194" s="101" t="s">
        <v>117</v>
      </c>
      <c r="AD194" s="101">
        <v>4659.9287999999997</v>
      </c>
      <c r="AE194" s="392">
        <v>6.6769528272694875E-2</v>
      </c>
      <c r="AF194" s="393">
        <v>859031</v>
      </c>
      <c r="AG194" s="398">
        <f t="shared" si="70"/>
        <v>124.48066328631798</v>
      </c>
    </row>
    <row r="195" spans="2:33" ht="17.5" thickBot="1">
      <c r="B195" s="24" t="s">
        <v>11</v>
      </c>
      <c r="C195" s="16">
        <v>738</v>
      </c>
      <c r="D195" s="16">
        <v>738</v>
      </c>
      <c r="E195" s="16">
        <v>404</v>
      </c>
      <c r="F195" s="16">
        <v>404</v>
      </c>
      <c r="G195" s="16">
        <v>800</v>
      </c>
      <c r="H195" s="16">
        <v>800</v>
      </c>
      <c r="I195" s="379">
        <v>1942</v>
      </c>
      <c r="J195" s="379">
        <v>1942</v>
      </c>
      <c r="K195" s="380">
        <v>3884</v>
      </c>
      <c r="L195" s="380">
        <v>3884</v>
      </c>
      <c r="S195" s="306" t="s">
        <v>819</v>
      </c>
      <c r="T195" s="306" t="s">
        <v>118</v>
      </c>
      <c r="U195" s="306">
        <v>23055.857</v>
      </c>
      <c r="V195" s="384">
        <v>0.33035455301649896</v>
      </c>
      <c r="W195" s="387">
        <v>859032</v>
      </c>
      <c r="X195" s="398">
        <f>$J$195*V195 * (1+KTDB_발생량도착량_증가율!$D$12*5) * (1+KTDB_발생량도착량_증가율!$E$12*5) * (1+KTDB_발생량도착량_증가율!$F$12*5) * (1+KTDB_발생량도착량_증가율!$G$12*5)</f>
        <v>688.14640790183773</v>
      </c>
      <c r="AB195" s="101" t="s">
        <v>819</v>
      </c>
      <c r="AC195" s="101" t="s">
        <v>118</v>
      </c>
      <c r="AD195" s="101">
        <v>23055.857</v>
      </c>
      <c r="AE195" s="392">
        <v>0.33035455301649896</v>
      </c>
      <c r="AF195" s="393">
        <v>859032</v>
      </c>
      <c r="AG195" s="398">
        <f t="shared" si="70"/>
        <v>615.89103507214475</v>
      </c>
    </row>
    <row r="196" spans="2:33" ht="18" thickTop="1" thickBot="1">
      <c r="S196" s="306" t="s">
        <v>819</v>
      </c>
      <c r="T196" s="306" t="s">
        <v>119</v>
      </c>
      <c r="U196" s="306">
        <v>12131.7871</v>
      </c>
      <c r="V196" s="384">
        <v>0.17382963056683723</v>
      </c>
      <c r="W196" s="388">
        <v>859033</v>
      </c>
      <c r="X196" s="399">
        <f>$J$195*V196 * (1+KTDB_발생량도착량_증가율!$D$12*5) * (1+KTDB_발생량도착량_증가율!$E$12*5) * (1+KTDB_발생량도착량_증가율!$F$12*5) * (1+KTDB_발생량도착량_증가율!$G$12*5)</f>
        <v>362.09652559411927</v>
      </c>
      <c r="AB196" s="101" t="s">
        <v>819</v>
      </c>
      <c r="AC196" s="101" t="s">
        <v>119</v>
      </c>
      <c r="AD196" s="101">
        <v>12131.7871</v>
      </c>
      <c r="AE196" s="392">
        <v>0.17382963056683723</v>
      </c>
      <c r="AF196" s="394">
        <v>859033</v>
      </c>
      <c r="AG196" s="399">
        <f t="shared" si="70"/>
        <v>324.07639040673678</v>
      </c>
    </row>
    <row r="197" spans="2:33">
      <c r="X197">
        <f>SUM(X191:X196)</f>
        <v>2083.0541054098003</v>
      </c>
      <c r="AG197">
        <f>SUM(AG191:AG196)</f>
        <v>1864.3334243417717</v>
      </c>
    </row>
    <row r="264" spans="1:20" ht="23">
      <c r="A264" s="32"/>
      <c r="B264" s="99" t="s">
        <v>272</v>
      </c>
      <c r="I264" t="s">
        <v>245</v>
      </c>
      <c r="L264" s="99" t="s">
        <v>278</v>
      </c>
      <c r="S264" t="s">
        <v>245</v>
      </c>
    </row>
    <row r="265" spans="1:20">
      <c r="B265" s="594" t="s">
        <v>268</v>
      </c>
      <c r="C265" s="594"/>
      <c r="D265" s="100"/>
      <c r="E265" s="100" t="s">
        <v>261</v>
      </c>
      <c r="F265" s="100" t="s">
        <v>262</v>
      </c>
      <c r="G265" s="100" t="s">
        <v>263</v>
      </c>
      <c r="H265" s="100" t="s">
        <v>264</v>
      </c>
      <c r="I265" s="100" t="s">
        <v>265</v>
      </c>
      <c r="J265" s="100"/>
      <c r="L265" s="594" t="s">
        <v>271</v>
      </c>
      <c r="M265" s="594"/>
      <c r="N265" s="100"/>
      <c r="O265" s="100" t="s">
        <v>261</v>
      </c>
      <c r="P265" s="100" t="s">
        <v>262</v>
      </c>
      <c r="Q265" s="100" t="s">
        <v>263</v>
      </c>
      <c r="R265" s="100" t="s">
        <v>264</v>
      </c>
      <c r="S265" s="100" t="s">
        <v>265</v>
      </c>
      <c r="T265" s="100"/>
    </row>
    <row r="266" spans="1:20">
      <c r="B266" s="575" t="s">
        <v>135</v>
      </c>
      <c r="C266" s="575"/>
      <c r="D266" s="98"/>
      <c r="E266" s="581" t="s">
        <v>273</v>
      </c>
      <c r="F266" s="582"/>
      <c r="G266" s="582"/>
      <c r="H266" s="582"/>
      <c r="I266" s="583"/>
      <c r="J266" s="98"/>
      <c r="L266" s="575" t="s">
        <v>135</v>
      </c>
      <c r="M266" s="575"/>
      <c r="N266" s="98"/>
      <c r="O266" s="581" t="s">
        <v>273</v>
      </c>
      <c r="P266" s="582"/>
      <c r="Q266" s="582"/>
      <c r="R266" s="583"/>
      <c r="S266" s="98"/>
      <c r="T266" s="98"/>
    </row>
    <row r="267" spans="1:20">
      <c r="B267" s="575"/>
      <c r="C267" s="575"/>
      <c r="D267" s="98"/>
      <c r="E267" s="584"/>
      <c r="F267" s="585"/>
      <c r="G267" s="585"/>
      <c r="H267" s="585"/>
      <c r="I267" s="586"/>
      <c r="J267" s="98"/>
      <c r="L267" s="575"/>
      <c r="M267" s="575"/>
      <c r="N267" s="98"/>
      <c r="O267" s="584"/>
      <c r="P267" s="585"/>
      <c r="Q267" s="585"/>
      <c r="R267" s="586"/>
      <c r="S267" s="98"/>
      <c r="T267" s="98"/>
    </row>
    <row r="268" spans="1:20">
      <c r="B268" s="575" t="s">
        <v>136</v>
      </c>
      <c r="C268" s="575"/>
      <c r="D268" s="98" t="s">
        <v>36</v>
      </c>
      <c r="E268" s="101">
        <f>$N$29*U11</f>
        <v>36.155999999999999</v>
      </c>
      <c r="F268" s="101">
        <f>$N$29*V11</f>
        <v>10.35</v>
      </c>
      <c r="G268" s="101">
        <f>$N$29*W11</f>
        <v>82.524000000000001</v>
      </c>
      <c r="H268" s="101">
        <f>$N$29*X11</f>
        <v>8.9700000000000006</v>
      </c>
      <c r="I268" s="101">
        <f>SUM(E268:H268)</f>
        <v>138</v>
      </c>
      <c r="J268" s="98" t="b">
        <f>I268=N29</f>
        <v>1</v>
      </c>
      <c r="L268" s="575" t="s">
        <v>136</v>
      </c>
      <c r="M268" s="575"/>
      <c r="N268" s="98" t="s">
        <v>36</v>
      </c>
      <c r="O268" s="101">
        <f>$Q$29*U11</f>
        <v>35.370000000000005</v>
      </c>
      <c r="P268" s="101">
        <f>$Q$29*V11</f>
        <v>10.125</v>
      </c>
      <c r="Q268" s="101">
        <f>$Q$29*W11</f>
        <v>80.72999999999999</v>
      </c>
      <c r="R268" s="101">
        <f>$Q$29*X11</f>
        <v>8.7750000000000004</v>
      </c>
      <c r="S268" s="101">
        <f>SUM(O268:R268)</f>
        <v>135</v>
      </c>
      <c r="T268" s="98" t="b">
        <f>S268=Q29</f>
        <v>1</v>
      </c>
    </row>
    <row r="269" spans="1:20">
      <c r="B269" s="575"/>
      <c r="C269" s="575"/>
      <c r="D269" s="98" t="s">
        <v>37</v>
      </c>
      <c r="E269" s="101">
        <f>$O$29*U12</f>
        <v>0</v>
      </c>
      <c r="F269" s="101">
        <f>$O$29*V12</f>
        <v>0</v>
      </c>
      <c r="G269" s="101">
        <f>$O$29*W12</f>
        <v>0</v>
      </c>
      <c r="H269" s="101">
        <f>$O$29*X12</f>
        <v>0</v>
      </c>
      <c r="I269" s="101">
        <f>SUM(E269:H269)</f>
        <v>0</v>
      </c>
      <c r="J269" s="98" t="b">
        <f>I269=O29</f>
        <v>1</v>
      </c>
      <c r="L269" s="575"/>
      <c r="M269" s="575"/>
      <c r="N269" s="98" t="s">
        <v>37</v>
      </c>
      <c r="O269" s="101">
        <f>$R$29*U12</f>
        <v>0</v>
      </c>
      <c r="P269" s="101">
        <f>$R$29*V12</f>
        <v>0</v>
      </c>
      <c r="Q269" s="101">
        <f>$R$29*W12</f>
        <v>0</v>
      </c>
      <c r="R269" s="101">
        <f>$R$29*X12</f>
        <v>0</v>
      </c>
      <c r="S269" s="101">
        <f>SUM(O269:R269)</f>
        <v>0</v>
      </c>
      <c r="T269" s="98" t="b">
        <f>S269=R29</f>
        <v>1</v>
      </c>
    </row>
    <row r="270" spans="1:20">
      <c r="B270" s="575" t="s">
        <v>137</v>
      </c>
      <c r="C270" s="575"/>
      <c r="D270" s="98" t="s">
        <v>36</v>
      </c>
      <c r="E270" s="101">
        <f>$N$30*U15</f>
        <v>312.512</v>
      </c>
      <c r="F270" s="101">
        <f>$N$30*V15</f>
        <v>74.015999999999991</v>
      </c>
      <c r="G270" s="101">
        <f>$N$30*W15</f>
        <v>425.59199999999998</v>
      </c>
      <c r="H270" s="101">
        <f>$N$30*X15</f>
        <v>215.88</v>
      </c>
      <c r="I270" s="101">
        <f t="shared" ref="I270:I287" si="71">SUM(E270:H270)</f>
        <v>1028</v>
      </c>
      <c r="J270" s="98" t="b">
        <f>I270=N30</f>
        <v>1</v>
      </c>
      <c r="L270" s="575" t="s">
        <v>137</v>
      </c>
      <c r="M270" s="575"/>
      <c r="N270" s="98" t="s">
        <v>36</v>
      </c>
      <c r="O270" s="101">
        <f>$Q$30*U15</f>
        <v>307.34399999999999</v>
      </c>
      <c r="P270" s="101">
        <f>$Q$30*V15</f>
        <v>72.792000000000002</v>
      </c>
      <c r="Q270" s="101">
        <f>$Q$30*W15</f>
        <v>418.55399999999997</v>
      </c>
      <c r="R270" s="101">
        <f>$Q$30*X15</f>
        <v>212.31</v>
      </c>
      <c r="S270" s="101">
        <f t="shared" ref="S270:S287" si="72">SUM(O270:R270)</f>
        <v>1011</v>
      </c>
      <c r="T270" s="98" t="b">
        <f>S270=Q30</f>
        <v>1</v>
      </c>
    </row>
    <row r="271" spans="1:20">
      <c r="B271" s="575"/>
      <c r="C271" s="575"/>
      <c r="D271" s="98" t="s">
        <v>37</v>
      </c>
      <c r="E271" s="101">
        <f>$O$30*U16</f>
        <v>0</v>
      </c>
      <c r="F271" s="101">
        <f>$O$30*V16</f>
        <v>0</v>
      </c>
      <c r="G271" s="101">
        <f>$O$30*W16</f>
        <v>0</v>
      </c>
      <c r="H271" s="101">
        <f>$O$30*X16</f>
        <v>0</v>
      </c>
      <c r="I271" s="101">
        <f t="shared" si="71"/>
        <v>0</v>
      </c>
      <c r="J271" s="98" t="b">
        <f>I271=O30</f>
        <v>1</v>
      </c>
      <c r="L271" s="575"/>
      <c r="M271" s="575"/>
      <c r="N271" s="98" t="s">
        <v>37</v>
      </c>
      <c r="O271" s="101">
        <f>$R$30*U16</f>
        <v>0</v>
      </c>
      <c r="P271" s="101">
        <f>$R$30*V16</f>
        <v>0</v>
      </c>
      <c r="Q271" s="101">
        <f>$R$30*W16</f>
        <v>0</v>
      </c>
      <c r="R271" s="101">
        <f>$R$30*X16</f>
        <v>0</v>
      </c>
      <c r="S271" s="101">
        <f t="shared" si="72"/>
        <v>0</v>
      </c>
      <c r="T271" s="98" t="b">
        <f>S271=R30</f>
        <v>1</v>
      </c>
    </row>
    <row r="272" spans="1:20">
      <c r="B272" s="575" t="s">
        <v>139</v>
      </c>
      <c r="C272" s="575"/>
      <c r="D272" s="98" t="s">
        <v>36</v>
      </c>
      <c r="E272" s="101">
        <f>$N$31*U13</f>
        <v>11167.695</v>
      </c>
      <c r="F272" s="101">
        <f>$N$31*V13</f>
        <v>1479.357</v>
      </c>
      <c r="G272" s="101">
        <f>$N$31*W13</f>
        <v>10094.436</v>
      </c>
      <c r="H272" s="101">
        <f>$N$31*X13</f>
        <v>6265.5119999999997</v>
      </c>
      <c r="I272" s="101">
        <f t="shared" si="71"/>
        <v>29006.999999999996</v>
      </c>
      <c r="J272" s="98" t="b">
        <f>I272=N31</f>
        <v>1</v>
      </c>
      <c r="L272" s="575" t="s">
        <v>139</v>
      </c>
      <c r="M272" s="575"/>
      <c r="N272" s="98" t="s">
        <v>36</v>
      </c>
      <c r="O272" s="101">
        <f>$Q$31*U13</f>
        <v>10984.82</v>
      </c>
      <c r="P272" s="101">
        <f>$Q$31*V13</f>
        <v>1455.1319999999998</v>
      </c>
      <c r="Q272" s="101">
        <f>$Q$31*W13</f>
        <v>9929.1359999999986</v>
      </c>
      <c r="R272" s="101">
        <f>$Q$31*X13</f>
        <v>6162.9120000000003</v>
      </c>
      <c r="S272" s="101">
        <f t="shared" si="72"/>
        <v>28531.999999999996</v>
      </c>
      <c r="T272" s="98" t="b">
        <f>S272=Q31</f>
        <v>1</v>
      </c>
    </row>
    <row r="273" spans="2:20">
      <c r="B273" s="575"/>
      <c r="C273" s="575"/>
      <c r="D273" s="98" t="s">
        <v>37</v>
      </c>
      <c r="E273" s="101">
        <f>$O$31*U14</f>
        <v>0</v>
      </c>
      <c r="F273" s="101">
        <f>$O$31*V14</f>
        <v>0</v>
      </c>
      <c r="G273" s="101">
        <f>$O$31*W14</f>
        <v>0</v>
      </c>
      <c r="H273" s="101">
        <f>$O$31*X14</f>
        <v>0</v>
      </c>
      <c r="I273" s="101">
        <f t="shared" si="71"/>
        <v>0</v>
      </c>
      <c r="J273" s="98" t="b">
        <f>I273=O31</f>
        <v>1</v>
      </c>
      <c r="L273" s="575"/>
      <c r="M273" s="575"/>
      <c r="N273" s="98" t="s">
        <v>37</v>
      </c>
      <c r="O273" s="101">
        <f>$R$31*U14</f>
        <v>0</v>
      </c>
      <c r="P273" s="101">
        <f>$R$31*V14</f>
        <v>0</v>
      </c>
      <c r="Q273" s="101">
        <f>$R$31*W14</f>
        <v>0</v>
      </c>
      <c r="R273" s="101">
        <f>$R$31*X14</f>
        <v>0</v>
      </c>
      <c r="S273" s="101">
        <f t="shared" si="72"/>
        <v>0</v>
      </c>
      <c r="T273" s="98" t="b">
        <f>S273=R31</f>
        <v>1</v>
      </c>
    </row>
    <row r="274" spans="2:20">
      <c r="B274" s="575" t="s">
        <v>43</v>
      </c>
      <c r="C274" s="575"/>
      <c r="D274" s="98" t="s">
        <v>36</v>
      </c>
      <c r="E274" s="101">
        <f>$N$32*U13</f>
        <v>1210.44</v>
      </c>
      <c r="F274" s="101">
        <f>$N$32*V13</f>
        <v>160.34399999999999</v>
      </c>
      <c r="G274" s="101">
        <f>$N$32*W13</f>
        <v>1094.1119999999999</v>
      </c>
      <c r="H274" s="101">
        <f>$N$32*X13</f>
        <v>679.10400000000004</v>
      </c>
      <c r="I274" s="101">
        <f t="shared" si="71"/>
        <v>3144</v>
      </c>
      <c r="J274" s="98" t="b">
        <f>I274=N32</f>
        <v>1</v>
      </c>
      <c r="L274" s="575" t="s">
        <v>43</v>
      </c>
      <c r="M274" s="575"/>
      <c r="N274" s="98" t="s">
        <v>36</v>
      </c>
      <c r="O274" s="101">
        <f>$Q$32*U13</f>
        <v>1190.42</v>
      </c>
      <c r="P274" s="101">
        <f>$Q$32*V13</f>
        <v>157.69199999999998</v>
      </c>
      <c r="Q274" s="101">
        <f>$Q$32*W13</f>
        <v>1076.0159999999998</v>
      </c>
      <c r="R274" s="101">
        <f>$Q$32*X13</f>
        <v>667.87199999999996</v>
      </c>
      <c r="S274" s="101">
        <f t="shared" si="72"/>
        <v>3091.9999999999995</v>
      </c>
      <c r="T274" s="98" t="b">
        <f>S274=Q32</f>
        <v>1</v>
      </c>
    </row>
    <row r="275" spans="2:20">
      <c r="B275" s="575"/>
      <c r="C275" s="575"/>
      <c r="D275" s="98" t="s">
        <v>37</v>
      </c>
      <c r="E275" s="101">
        <f>$O$32*U14</f>
        <v>0</v>
      </c>
      <c r="F275" s="101">
        <f>$O$32*V14</f>
        <v>0</v>
      </c>
      <c r="G275" s="101">
        <f>$O$32*W14</f>
        <v>0</v>
      </c>
      <c r="H275" s="101">
        <f>$O$32*X14</f>
        <v>0</v>
      </c>
      <c r="I275" s="101">
        <f t="shared" si="71"/>
        <v>0</v>
      </c>
      <c r="J275" s="98" t="b">
        <f>I275=O32</f>
        <v>1</v>
      </c>
      <c r="L275" s="575"/>
      <c r="M275" s="575"/>
      <c r="N275" s="98" t="s">
        <v>37</v>
      </c>
      <c r="O275" s="101">
        <f>$R$32*U14</f>
        <v>0</v>
      </c>
      <c r="P275" s="101">
        <f>$R$32*V14</f>
        <v>0</v>
      </c>
      <c r="Q275" s="101">
        <f>$R$32*W14</f>
        <v>0</v>
      </c>
      <c r="R275" s="101">
        <f>$R$32*X14</f>
        <v>0</v>
      </c>
      <c r="S275" s="101">
        <f t="shared" si="72"/>
        <v>0</v>
      </c>
      <c r="T275" s="98" t="b">
        <f>S275=R32</f>
        <v>1</v>
      </c>
    </row>
    <row r="276" spans="2:20">
      <c r="B276" s="575" t="s">
        <v>141</v>
      </c>
      <c r="C276" s="575"/>
      <c r="D276" s="98" t="s">
        <v>36</v>
      </c>
      <c r="E276" s="101">
        <f>$N$33*U13</f>
        <v>1033.3399999999999</v>
      </c>
      <c r="F276" s="101">
        <f>$N$33*V13</f>
        <v>136.88399999999999</v>
      </c>
      <c r="G276" s="101">
        <f>$N$33*W13</f>
        <v>934.03199999999993</v>
      </c>
      <c r="H276" s="101">
        <f>$N$33*X13</f>
        <v>579.74400000000003</v>
      </c>
      <c r="I276" s="101">
        <f t="shared" si="71"/>
        <v>2684</v>
      </c>
      <c r="J276" s="98" t="b">
        <f>I276=N33</f>
        <v>1</v>
      </c>
      <c r="L276" s="575" t="s">
        <v>141</v>
      </c>
      <c r="M276" s="575"/>
      <c r="N276" s="98" t="s">
        <v>36</v>
      </c>
      <c r="O276" s="101">
        <f>$Q$33*U13</f>
        <v>1016.4</v>
      </c>
      <c r="P276" s="101">
        <f>$Q$33*V13</f>
        <v>134.63999999999999</v>
      </c>
      <c r="Q276" s="101">
        <f>$Q$33*W13</f>
        <v>918.71999999999991</v>
      </c>
      <c r="R276" s="101">
        <f>$Q$33*X13</f>
        <v>570.24</v>
      </c>
      <c r="S276" s="101">
        <f t="shared" si="72"/>
        <v>2640</v>
      </c>
      <c r="T276" s="98" t="b">
        <f>S276=Q33</f>
        <v>1</v>
      </c>
    </row>
    <row r="277" spans="2:20">
      <c r="B277" s="575"/>
      <c r="C277" s="575"/>
      <c r="D277" s="98" t="s">
        <v>37</v>
      </c>
      <c r="E277" s="101">
        <f>$O$33*U14</f>
        <v>0</v>
      </c>
      <c r="F277" s="101">
        <f>$O$33*V14</f>
        <v>0</v>
      </c>
      <c r="G277" s="101">
        <f>$O$33*W14</f>
        <v>0</v>
      </c>
      <c r="H277" s="101">
        <f>$O$33*X14</f>
        <v>0</v>
      </c>
      <c r="I277" s="101">
        <f t="shared" si="71"/>
        <v>0</v>
      </c>
      <c r="J277" s="98" t="b">
        <f>I277=O33</f>
        <v>1</v>
      </c>
      <c r="L277" s="575"/>
      <c r="M277" s="575"/>
      <c r="N277" s="98" t="s">
        <v>37</v>
      </c>
      <c r="O277" s="101">
        <f>$R$33*U14</f>
        <v>0</v>
      </c>
      <c r="P277" s="101">
        <f>$R$33*V14</f>
        <v>0</v>
      </c>
      <c r="Q277" s="101">
        <f>$R$33*W14</f>
        <v>0</v>
      </c>
      <c r="R277" s="101">
        <f>$R$33*X14</f>
        <v>0</v>
      </c>
      <c r="S277" s="101">
        <f t="shared" si="72"/>
        <v>0</v>
      </c>
      <c r="T277" s="98" t="b">
        <f>S277=R33</f>
        <v>1</v>
      </c>
    </row>
    <row r="278" spans="2:20">
      <c r="B278" s="575" t="s">
        <v>269</v>
      </c>
      <c r="C278" s="575" t="s">
        <v>14</v>
      </c>
      <c r="D278" s="98" t="s">
        <v>36</v>
      </c>
      <c r="E278" s="101">
        <f>$N$34*U15</f>
        <v>241.98399999999998</v>
      </c>
      <c r="F278" s="101">
        <f>$N$34*V15</f>
        <v>57.311999999999998</v>
      </c>
      <c r="G278" s="101">
        <f>$N$34*W15</f>
        <v>329.54399999999998</v>
      </c>
      <c r="H278" s="101">
        <f>$N$34*X15</f>
        <v>167.16</v>
      </c>
      <c r="I278" s="101">
        <f t="shared" si="71"/>
        <v>795.99999999999989</v>
      </c>
      <c r="J278" s="98" t="b">
        <f>I278=N34</f>
        <v>1</v>
      </c>
      <c r="L278" s="575" t="s">
        <v>269</v>
      </c>
      <c r="M278" s="575" t="s">
        <v>14</v>
      </c>
      <c r="N278" s="98" t="s">
        <v>36</v>
      </c>
      <c r="O278" s="101">
        <f>$Q$34*U15</f>
        <v>238.03199999999998</v>
      </c>
      <c r="P278" s="101">
        <f>$Q$34*V15</f>
        <v>56.375999999999998</v>
      </c>
      <c r="Q278" s="101">
        <f>$Q$34*W15</f>
        <v>324.16199999999998</v>
      </c>
      <c r="R278" s="101">
        <f>$Q$34*X15</f>
        <v>164.43</v>
      </c>
      <c r="S278" s="101">
        <f t="shared" si="72"/>
        <v>783</v>
      </c>
      <c r="T278" s="98" t="b">
        <f>S278=Q34</f>
        <v>1</v>
      </c>
    </row>
    <row r="279" spans="2:20">
      <c r="B279" s="575"/>
      <c r="C279" s="575"/>
      <c r="D279" s="98" t="s">
        <v>37</v>
      </c>
      <c r="E279" s="101">
        <f>$O$34*U16</f>
        <v>0</v>
      </c>
      <c r="F279" s="101">
        <f>$O$34*V16</f>
        <v>0</v>
      </c>
      <c r="G279" s="101">
        <f>$O$34*W16</f>
        <v>0</v>
      </c>
      <c r="H279" s="101">
        <f>$O$34*X16</f>
        <v>0</v>
      </c>
      <c r="I279" s="101">
        <f t="shared" si="71"/>
        <v>0</v>
      </c>
      <c r="J279" s="98" t="b">
        <f>I279=O34</f>
        <v>1</v>
      </c>
      <c r="L279" s="575"/>
      <c r="M279" s="575"/>
      <c r="N279" s="98" t="s">
        <v>37</v>
      </c>
      <c r="O279" s="101">
        <f>$R$34*U16</f>
        <v>0</v>
      </c>
      <c r="P279" s="101">
        <f>$R$34*V16</f>
        <v>0</v>
      </c>
      <c r="Q279" s="101">
        <f>$R$34*W16</f>
        <v>0</v>
      </c>
      <c r="R279" s="101">
        <f>$R$34*X16</f>
        <v>0</v>
      </c>
      <c r="S279" s="101">
        <f t="shared" si="72"/>
        <v>0</v>
      </c>
      <c r="T279" s="98" t="b">
        <f>S279=R34</f>
        <v>1</v>
      </c>
    </row>
    <row r="280" spans="2:20">
      <c r="B280" s="575"/>
      <c r="C280" s="575" t="s">
        <v>13</v>
      </c>
      <c r="D280" s="98" t="s">
        <v>36</v>
      </c>
      <c r="E280" s="101">
        <f>$N$35*U11</f>
        <v>160.34399999999999</v>
      </c>
      <c r="F280" s="101">
        <f>$N$35*V11</f>
        <v>45.9</v>
      </c>
      <c r="G280" s="101">
        <f>$N$35*W11</f>
        <v>365.976</v>
      </c>
      <c r="H280" s="101">
        <f>$N$35*X11</f>
        <v>39.78</v>
      </c>
      <c r="I280" s="101">
        <f t="shared" si="71"/>
        <v>612</v>
      </c>
      <c r="J280" s="98" t="b">
        <f>I280=N35</f>
        <v>1</v>
      </c>
      <c r="L280" s="575"/>
      <c r="M280" s="575" t="s">
        <v>13</v>
      </c>
      <c r="N280" s="98" t="s">
        <v>36</v>
      </c>
      <c r="O280" s="101">
        <f>$Q$35*U11</f>
        <v>157.72400000000002</v>
      </c>
      <c r="P280" s="101">
        <f>$Q$35*V11</f>
        <v>45.15</v>
      </c>
      <c r="Q280" s="101">
        <f>$Q$35*W11</f>
        <v>359.99599999999998</v>
      </c>
      <c r="R280" s="101">
        <f>$Q$35*X11</f>
        <v>39.130000000000003</v>
      </c>
      <c r="S280" s="101">
        <f t="shared" si="72"/>
        <v>602</v>
      </c>
      <c r="T280" s="98" t="b">
        <f>S280=Q35</f>
        <v>1</v>
      </c>
    </row>
    <row r="281" spans="2:20">
      <c r="B281" s="575"/>
      <c r="C281" s="575"/>
      <c r="D281" s="98" t="s">
        <v>37</v>
      </c>
      <c r="E281" s="101">
        <f>$O$35*U12</f>
        <v>0</v>
      </c>
      <c r="F281" s="101">
        <f>$O$35*V12</f>
        <v>0</v>
      </c>
      <c r="G281" s="101">
        <f>$O$35*W12</f>
        <v>0</v>
      </c>
      <c r="H281" s="101">
        <f>$O$35*X12</f>
        <v>0</v>
      </c>
      <c r="I281" s="101">
        <f t="shared" si="71"/>
        <v>0</v>
      </c>
      <c r="J281" s="98" t="b">
        <f>I281=O35</f>
        <v>1</v>
      </c>
      <c r="L281" s="575"/>
      <c r="M281" s="575"/>
      <c r="N281" s="98" t="s">
        <v>37</v>
      </c>
      <c r="O281" s="101">
        <f>$R$35*U12</f>
        <v>0</v>
      </c>
      <c r="P281" s="101">
        <f>$R$35*V12</f>
        <v>0</v>
      </c>
      <c r="Q281" s="101">
        <f>$R$35*W12</f>
        <v>0</v>
      </c>
      <c r="R281" s="101">
        <f>$R$35*X12</f>
        <v>0</v>
      </c>
      <c r="S281" s="101">
        <f t="shared" si="72"/>
        <v>0</v>
      </c>
      <c r="T281" s="98" t="b">
        <f>S281=R35</f>
        <v>1</v>
      </c>
    </row>
    <row r="282" spans="2:20">
      <c r="B282" s="575"/>
      <c r="C282" s="575" t="s">
        <v>23</v>
      </c>
      <c r="D282" s="98" t="s">
        <v>36</v>
      </c>
      <c r="E282" s="101">
        <f>$N$36*U17</f>
        <v>654.19799999999998</v>
      </c>
      <c r="F282" s="101">
        <f>$N$36*V17</f>
        <v>146.73599999999999</v>
      </c>
      <c r="G282" s="101">
        <f>$N$36*W17</f>
        <v>857.99799999999993</v>
      </c>
      <c r="H282" s="101">
        <f>$N$36*X17</f>
        <v>379.06799999999998</v>
      </c>
      <c r="I282" s="101">
        <f t="shared" si="71"/>
        <v>2037.9999999999998</v>
      </c>
      <c r="J282" s="98" t="b">
        <f>I282=N36</f>
        <v>1</v>
      </c>
      <c r="L282" s="575"/>
      <c r="M282" s="575" t="s">
        <v>23</v>
      </c>
      <c r="N282" s="98" t="s">
        <v>36</v>
      </c>
      <c r="O282" s="101">
        <f>$Q$36*U17</f>
        <v>643.60500000000002</v>
      </c>
      <c r="P282" s="101">
        <f>$Q$36*V17</f>
        <v>144.35999999999999</v>
      </c>
      <c r="Q282" s="101">
        <f>$Q$36*W17</f>
        <v>844.10500000000002</v>
      </c>
      <c r="R282" s="101">
        <f>$Q$36*X17</f>
        <v>372.93</v>
      </c>
      <c r="S282" s="101">
        <f t="shared" si="72"/>
        <v>2005.0000000000002</v>
      </c>
      <c r="T282" s="98" t="b">
        <f>S282=Q36</f>
        <v>1</v>
      </c>
    </row>
    <row r="283" spans="2:20">
      <c r="B283" s="575"/>
      <c r="C283" s="575"/>
      <c r="D283" s="98" t="s">
        <v>37</v>
      </c>
      <c r="E283" s="101">
        <f>$O$36*U18</f>
        <v>0</v>
      </c>
      <c r="F283" s="101">
        <f>$O$36*V18</f>
        <v>0</v>
      </c>
      <c r="G283" s="101">
        <f>$O$36*W18</f>
        <v>0</v>
      </c>
      <c r="H283" s="101">
        <f>$O$36*X18</f>
        <v>0</v>
      </c>
      <c r="I283" s="101">
        <f t="shared" si="71"/>
        <v>0</v>
      </c>
      <c r="J283" s="98" t="b">
        <f>I283=O36</f>
        <v>1</v>
      </c>
      <c r="L283" s="575"/>
      <c r="M283" s="575"/>
      <c r="N283" s="98" t="s">
        <v>37</v>
      </c>
      <c r="O283" s="101">
        <f>$R$36*U18</f>
        <v>0</v>
      </c>
      <c r="P283" s="101">
        <f>$R$36*V18</f>
        <v>0</v>
      </c>
      <c r="Q283" s="101">
        <f>$R$36*W18</f>
        <v>0</v>
      </c>
      <c r="R283" s="101">
        <f>$R$36*X18</f>
        <v>0</v>
      </c>
      <c r="S283" s="101">
        <f t="shared" si="72"/>
        <v>0</v>
      </c>
      <c r="T283" s="98" t="b">
        <f>S283=R36</f>
        <v>1</v>
      </c>
    </row>
    <row r="284" spans="2:20">
      <c r="B284" s="575" t="s">
        <v>144</v>
      </c>
      <c r="C284" s="575"/>
      <c r="D284" s="98" t="s">
        <v>36</v>
      </c>
      <c r="E284" s="101">
        <f>$N$37*U15</f>
        <v>331.66399999999999</v>
      </c>
      <c r="F284" s="101">
        <f>$N$37*V15</f>
        <v>78.551999999999992</v>
      </c>
      <c r="G284" s="101">
        <f>$N$37*W15</f>
        <v>451.67399999999998</v>
      </c>
      <c r="H284" s="101">
        <f>$N$37*X15</f>
        <v>229.10999999999999</v>
      </c>
      <c r="I284" s="101">
        <f t="shared" si="71"/>
        <v>1091</v>
      </c>
      <c r="J284" s="98" t="b">
        <f>I284=N37</f>
        <v>1</v>
      </c>
      <c r="L284" s="575" t="s">
        <v>144</v>
      </c>
      <c r="M284" s="575"/>
      <c r="N284" s="98" t="s">
        <v>36</v>
      </c>
      <c r="O284" s="101">
        <f>$Q$37*U15</f>
        <v>326.19200000000001</v>
      </c>
      <c r="P284" s="101">
        <f>$Q$37*V15</f>
        <v>77.256</v>
      </c>
      <c r="Q284" s="101">
        <f>$Q$37*W15</f>
        <v>444.22199999999998</v>
      </c>
      <c r="R284" s="101">
        <f>$Q$37*X15</f>
        <v>225.32999999999998</v>
      </c>
      <c r="S284" s="101">
        <f t="shared" si="72"/>
        <v>1073</v>
      </c>
      <c r="T284" s="98" t="b">
        <f>S284=Q37</f>
        <v>1</v>
      </c>
    </row>
    <row r="285" spans="2:20">
      <c r="B285" s="575"/>
      <c r="C285" s="575"/>
      <c r="D285" s="98" t="s">
        <v>37</v>
      </c>
      <c r="E285" s="101">
        <f>$O$37*U16</f>
        <v>0</v>
      </c>
      <c r="F285" s="101">
        <f>$O$37*V16</f>
        <v>0</v>
      </c>
      <c r="G285" s="101">
        <f>$O$37*W16</f>
        <v>0</v>
      </c>
      <c r="H285" s="101">
        <f>$O$37*X16</f>
        <v>0</v>
      </c>
      <c r="I285" s="101">
        <f t="shared" si="71"/>
        <v>0</v>
      </c>
      <c r="J285" s="98" t="b">
        <f>I285=O37</f>
        <v>1</v>
      </c>
      <c r="L285" s="575"/>
      <c r="M285" s="575"/>
      <c r="N285" s="98" t="s">
        <v>37</v>
      </c>
      <c r="O285" s="101">
        <f>$R$37*U16</f>
        <v>0</v>
      </c>
      <c r="P285" s="101">
        <f>$R$37*V16</f>
        <v>0</v>
      </c>
      <c r="Q285" s="101">
        <f>$R$37*W16</f>
        <v>0</v>
      </c>
      <c r="R285" s="101">
        <f>$R$37*X16</f>
        <v>0</v>
      </c>
      <c r="S285" s="101">
        <f t="shared" si="72"/>
        <v>0</v>
      </c>
      <c r="T285" s="98" t="b">
        <f>S285=R37</f>
        <v>1</v>
      </c>
    </row>
    <row r="286" spans="2:20">
      <c r="B286" s="575" t="s">
        <v>270</v>
      </c>
      <c r="C286" s="575"/>
      <c r="D286" s="98" t="s">
        <v>36</v>
      </c>
      <c r="E286" s="101">
        <f>$N$38*U11</f>
        <v>90.128</v>
      </c>
      <c r="F286" s="101">
        <f>$N$38*V11</f>
        <v>25.8</v>
      </c>
      <c r="G286" s="101">
        <f>$N$38*W11</f>
        <v>205.71199999999999</v>
      </c>
      <c r="H286" s="101">
        <f>$N$38*X11</f>
        <v>22.36</v>
      </c>
      <c r="I286" s="101">
        <f t="shared" si="71"/>
        <v>344</v>
      </c>
      <c r="J286" s="98" t="b">
        <f>I286=N38</f>
        <v>1</v>
      </c>
      <c r="L286" s="575" t="s">
        <v>270</v>
      </c>
      <c r="M286" s="575"/>
      <c r="N286" s="98" t="s">
        <v>36</v>
      </c>
      <c r="O286" s="101">
        <f>$Q$38*U11</f>
        <v>88.555999999999997</v>
      </c>
      <c r="P286" s="101">
        <f>$Q$38*V11</f>
        <v>25.349999999999998</v>
      </c>
      <c r="Q286" s="101">
        <f>$Q$38*W11</f>
        <v>202.124</v>
      </c>
      <c r="R286" s="101">
        <f>$Q$38*X11</f>
        <v>21.970000000000002</v>
      </c>
      <c r="S286" s="101">
        <f t="shared" si="72"/>
        <v>338</v>
      </c>
      <c r="T286" s="98" t="b">
        <f>S286=Q38</f>
        <v>1</v>
      </c>
    </row>
    <row r="287" spans="2:20">
      <c r="B287" s="575"/>
      <c r="C287" s="575"/>
      <c r="D287" s="98" t="s">
        <v>37</v>
      </c>
      <c r="E287" s="101">
        <f>$O$38*U12</f>
        <v>0</v>
      </c>
      <c r="F287" s="101">
        <f>$O$38*V12</f>
        <v>0</v>
      </c>
      <c r="G287" s="101">
        <f>$O$38*W12</f>
        <v>0</v>
      </c>
      <c r="H287" s="101">
        <f>$O$38*X12</f>
        <v>0</v>
      </c>
      <c r="I287" s="101">
        <f t="shared" si="71"/>
        <v>0</v>
      </c>
      <c r="J287" s="98" t="b">
        <f>I287=O38</f>
        <v>1</v>
      </c>
      <c r="L287" s="575"/>
      <c r="M287" s="575"/>
      <c r="N287" s="98" t="s">
        <v>37</v>
      </c>
      <c r="O287" s="101">
        <f>$R$38*U12</f>
        <v>0</v>
      </c>
      <c r="P287" s="101">
        <f>$R$38*V12</f>
        <v>0</v>
      </c>
      <c r="Q287" s="101">
        <f>$R$38*W12</f>
        <v>0</v>
      </c>
      <c r="R287" s="101">
        <f>$R$38*X12</f>
        <v>0</v>
      </c>
      <c r="S287" s="101">
        <f t="shared" si="72"/>
        <v>0</v>
      </c>
      <c r="T287" s="98" t="b">
        <f>S287=R38</f>
        <v>1</v>
      </c>
    </row>
    <row r="291" spans="2:17" ht="23">
      <c r="B291" s="102" t="s">
        <v>355</v>
      </c>
      <c r="L291" s="102" t="s">
        <v>356</v>
      </c>
    </row>
    <row r="293" spans="2:17">
      <c r="G293" t="s">
        <v>277</v>
      </c>
    </row>
    <row r="294" spans="2:17">
      <c r="C294" s="580" t="s">
        <v>27</v>
      </c>
      <c r="D294" s="580"/>
      <c r="E294" s="160" t="s">
        <v>261</v>
      </c>
      <c r="F294" s="160" t="s">
        <v>262</v>
      </c>
      <c r="G294" s="160" t="s">
        <v>263</v>
      </c>
      <c r="I294" s="100" t="s">
        <v>264</v>
      </c>
      <c r="J294" s="100" t="s">
        <v>265</v>
      </c>
      <c r="M294" s="580" t="s">
        <v>27</v>
      </c>
      <c r="N294" s="580"/>
      <c r="O294" s="160" t="s">
        <v>261</v>
      </c>
      <c r="P294" s="160" t="s">
        <v>262</v>
      </c>
      <c r="Q294" s="160" t="s">
        <v>263</v>
      </c>
    </row>
    <row r="295" spans="2:17">
      <c r="C295" s="574" t="s">
        <v>135</v>
      </c>
      <c r="D295" s="574"/>
      <c r="E295" s="161"/>
      <c r="F295" s="161"/>
      <c r="G295" s="161"/>
      <c r="I295" s="98"/>
      <c r="J295" s="98"/>
      <c r="M295" s="574" t="s">
        <v>135</v>
      </c>
      <c r="N295" s="574"/>
      <c r="O295" s="161"/>
      <c r="P295" s="161"/>
      <c r="Q295" s="161"/>
    </row>
    <row r="296" spans="2:17">
      <c r="C296" s="574" t="s">
        <v>136</v>
      </c>
      <c r="D296" s="574"/>
      <c r="E296" s="162">
        <f>SUM(E$268:E$269)/$L$7</f>
        <v>25.642553191489363</v>
      </c>
      <c r="F296" s="162">
        <f>SUM(F$268:F$269)/$M$7</f>
        <v>6.8999999999999995</v>
      </c>
      <c r="G296" s="162">
        <f>SUM(G$268:G$269)/$O$7</f>
        <v>2.8664119485932615</v>
      </c>
      <c r="I296" s="98"/>
      <c r="J296" s="98"/>
      <c r="M296" s="574" t="s">
        <v>136</v>
      </c>
      <c r="N296" s="574"/>
      <c r="O296" s="162">
        <f>SUM(O$268:O$269)/$L$7</f>
        <v>25.085106382978729</v>
      </c>
      <c r="P296" s="162">
        <f>SUM(P$268:P$269)/$M$7</f>
        <v>6.75</v>
      </c>
      <c r="Q296" s="162">
        <f>SUM(Q$268:Q$269)/$O$7</f>
        <v>2.804098645362973</v>
      </c>
    </row>
    <row r="297" spans="2:17">
      <c r="C297" s="574" t="s">
        <v>137</v>
      </c>
      <c r="D297" s="574"/>
      <c r="E297" s="162">
        <f>SUM(E$270:E$271)/$L$7</f>
        <v>221.63971631205675</v>
      </c>
      <c r="F297" s="162">
        <f>SUM(F$270:F$271)/$M$7</f>
        <v>49.343999999999994</v>
      </c>
      <c r="G297" s="162">
        <f>SUM(G$270:G$271)/$O$7</f>
        <v>14.782632858631469</v>
      </c>
      <c r="I297" s="98"/>
      <c r="J297" s="98"/>
      <c r="M297" s="574" t="s">
        <v>137</v>
      </c>
      <c r="N297" s="574"/>
      <c r="O297" s="162">
        <f>SUM(O$270:O$271)/$L$7</f>
        <v>217.97446808510639</v>
      </c>
      <c r="P297" s="162">
        <f>SUM(P$270:P$271)/$M$7</f>
        <v>48.527999999999999</v>
      </c>
      <c r="Q297" s="162">
        <f>SUM(Q$270:Q$271)/$O$7</f>
        <v>14.538172976728029</v>
      </c>
    </row>
    <row r="298" spans="2:17">
      <c r="C298" s="574" t="s">
        <v>139</v>
      </c>
      <c r="D298" s="574"/>
      <c r="E298" s="162">
        <f>SUM(E$272:E$273)/$L$7</f>
        <v>7920.3510638297876</v>
      </c>
      <c r="F298" s="162">
        <f>SUM(F$272:F$273)/$M$7</f>
        <v>986.23799999999994</v>
      </c>
      <c r="G298" s="162">
        <f>SUM(G$272:G$273)/$O$7</f>
        <v>350.62299409517192</v>
      </c>
      <c r="I298" s="98"/>
      <c r="J298" s="98"/>
      <c r="M298" s="574" t="s">
        <v>139</v>
      </c>
      <c r="N298" s="574"/>
      <c r="O298" s="162">
        <f>SUM(O$272:O$273)/$L$7</f>
        <v>7790.6524822695037</v>
      </c>
      <c r="P298" s="162">
        <f>SUM(P$272:P$273)/$M$7</f>
        <v>970.08799999999985</v>
      </c>
      <c r="Q298" s="162">
        <f>SUM(Q$272:Q$273)/$O$7</f>
        <v>344.88141715873564</v>
      </c>
    </row>
    <row r="299" spans="2:17">
      <c r="C299" s="574" t="s">
        <v>43</v>
      </c>
      <c r="D299" s="574"/>
      <c r="E299" s="162">
        <f>SUM(E$274:E$275)/$L$7</f>
        <v>858.46808510638311</v>
      </c>
      <c r="F299" s="162">
        <f>SUM(F$274:F$275)/$M$7</f>
        <v>106.896</v>
      </c>
      <c r="G299" s="162">
        <f>SUM(G$274:G$275)/$O$7</f>
        <v>38.003195554011803</v>
      </c>
      <c r="I299" s="98"/>
      <c r="J299" s="98"/>
      <c r="M299" s="574" t="s">
        <v>43</v>
      </c>
      <c r="N299" s="574"/>
      <c r="O299" s="162">
        <f>SUM(O$274:O$275)/$L$7</f>
        <v>844.26950354609937</v>
      </c>
      <c r="P299" s="162">
        <f>SUM(P$274:P$275)/$M$7</f>
        <v>105.12799999999999</v>
      </c>
      <c r="Q299" s="162">
        <f>SUM(Q$274:Q$275)/$O$7</f>
        <v>37.374643973601941</v>
      </c>
    </row>
    <row r="300" spans="2:17">
      <c r="C300" s="574" t="s">
        <v>141</v>
      </c>
      <c r="D300" s="574"/>
      <c r="E300" s="162">
        <f>SUM(E$276:E$277)/$L$7</f>
        <v>732.86524822695037</v>
      </c>
      <c r="F300" s="162">
        <f>SUM(F$276:F$277)/$M$7</f>
        <v>91.255999999999986</v>
      </c>
      <c r="G300" s="162">
        <f>SUM(G$276:G$277)/$O$7</f>
        <v>32.442931573463007</v>
      </c>
      <c r="I300" s="98"/>
      <c r="J300" s="98"/>
      <c r="M300" s="574" t="s">
        <v>141</v>
      </c>
      <c r="N300" s="574"/>
      <c r="O300" s="162">
        <f>SUM(O$276:O$277)/$L$7</f>
        <v>720.85106382978722</v>
      </c>
      <c r="P300" s="162">
        <f>SUM(P$276:P$277)/$M$7</f>
        <v>89.759999999999991</v>
      </c>
      <c r="Q300" s="162">
        <f>SUM(Q$276:Q$277)/$O$7</f>
        <v>31.911080236193122</v>
      </c>
    </row>
    <row r="301" spans="2:17">
      <c r="C301" s="191" t="s">
        <v>142</v>
      </c>
      <c r="D301" s="191" t="s">
        <v>21</v>
      </c>
      <c r="E301" s="162"/>
      <c r="F301" s="162"/>
      <c r="G301" s="162"/>
      <c r="I301" s="98"/>
      <c r="J301" s="98"/>
      <c r="M301" s="191" t="s">
        <v>142</v>
      </c>
      <c r="N301" s="191" t="s">
        <v>21</v>
      </c>
      <c r="O301" s="162"/>
      <c r="P301" s="162"/>
      <c r="Q301" s="162"/>
    </row>
    <row r="302" spans="2:17">
      <c r="C302" s="191" t="s">
        <v>19</v>
      </c>
      <c r="D302" s="191" t="s">
        <v>14</v>
      </c>
      <c r="E302" s="162">
        <f>SUM(E$278:E$279)/$L$7</f>
        <v>171.61985815602836</v>
      </c>
      <c r="F302" s="162">
        <f>SUM(F$278:F$279)/$M$7</f>
        <v>38.207999999999998</v>
      </c>
      <c r="G302" s="162">
        <f>SUM(G$278:G$279)/$O$7</f>
        <v>11.446474470302189</v>
      </c>
      <c r="I302" s="98"/>
      <c r="J302" s="98"/>
      <c r="M302" s="191" t="s">
        <v>19</v>
      </c>
      <c r="N302" s="191" t="s">
        <v>14</v>
      </c>
      <c r="O302" s="162">
        <f>SUM(O$278:O$279)/$L$7</f>
        <v>168.81702127659574</v>
      </c>
      <c r="P302" s="162">
        <f>SUM(P$278:P$279)/$M$7</f>
        <v>37.583999999999996</v>
      </c>
      <c r="Q302" s="162">
        <f>SUM(Q$278:Q$279)/$O$7</f>
        <v>11.259534560611323</v>
      </c>
    </row>
    <row r="303" spans="2:17" ht="25">
      <c r="C303" s="191" t="s">
        <v>20</v>
      </c>
      <c r="D303" s="191" t="s">
        <v>13</v>
      </c>
      <c r="E303" s="162">
        <f>SUM(E$280:E$281)/$L$7</f>
        <v>113.71914893617021</v>
      </c>
      <c r="F303" s="162">
        <f>SUM(F$280:F$281)/$M$7</f>
        <v>30.599999999999998</v>
      </c>
      <c r="G303" s="162">
        <f>SUM(G$280:G$281)/$O$7</f>
        <v>12.711913858978813</v>
      </c>
      <c r="I303" s="98"/>
      <c r="J303" s="98"/>
      <c r="M303" s="191" t="s">
        <v>20</v>
      </c>
      <c r="N303" s="191" t="s">
        <v>13</v>
      </c>
      <c r="O303" s="162">
        <f>SUM(O$280:O$281)/$L$7</f>
        <v>111.86099290780143</v>
      </c>
      <c r="P303" s="162">
        <f>SUM(P$280:P$281)/$M$7</f>
        <v>30.099999999999998</v>
      </c>
      <c r="Q303" s="162">
        <f>SUM(Q$280:Q$281)/$O$7</f>
        <v>12.504202848211184</v>
      </c>
    </row>
    <row r="304" spans="2:17">
      <c r="C304" s="104"/>
      <c r="D304" s="191" t="s">
        <v>23</v>
      </c>
      <c r="E304" s="162">
        <f>SUM(E$282:E$283)/$L$7</f>
        <v>463.97021276595746</v>
      </c>
      <c r="F304" s="162">
        <f>SUM(F$282:F$283)/$M$7</f>
        <v>97.823999999999998</v>
      </c>
      <c r="G304" s="162">
        <f>SUM(G$282:G$283)/$O$7</f>
        <v>29.801945119833274</v>
      </c>
      <c r="I304" s="98"/>
      <c r="J304" s="98"/>
      <c r="M304" s="104"/>
      <c r="N304" s="191" t="s">
        <v>23</v>
      </c>
      <c r="O304" s="162">
        <f>SUM(O$282:O$283)/$L$7</f>
        <v>456.45744680851067</v>
      </c>
      <c r="P304" s="162">
        <f>SUM(P$282:P$283)/$M$7</f>
        <v>96.24</v>
      </c>
      <c r="Q304" s="162">
        <f>SUM(Q$282:Q$283)/$O$7</f>
        <v>29.319381729767283</v>
      </c>
    </row>
    <row r="305" spans="3:17">
      <c r="C305" s="574" t="s">
        <v>144</v>
      </c>
      <c r="D305" s="574"/>
      <c r="E305" s="162">
        <f>SUM(E$284:E$285)/$L$7</f>
        <v>235.22269503546099</v>
      </c>
      <c r="F305" s="162">
        <f>SUM(F$284:F$285)/$M$7</f>
        <v>52.367999999999995</v>
      </c>
      <c r="G305" s="162">
        <f>SUM(G$284:G$285)/$O$7</f>
        <v>15.688572420979506</v>
      </c>
      <c r="I305" s="98"/>
      <c r="J305" s="98"/>
      <c r="M305" s="574" t="s">
        <v>144</v>
      </c>
      <c r="N305" s="574"/>
      <c r="O305" s="162">
        <f>SUM(O$284:O$285)/$L$7</f>
        <v>231.34184397163122</v>
      </c>
      <c r="P305" s="162">
        <f>SUM(P$284:P$285)/$M$7</f>
        <v>51.503999999999998</v>
      </c>
      <c r="Q305" s="162">
        <f>SUM(Q$284:Q$285)/$O$7</f>
        <v>15.429732546022924</v>
      </c>
    </row>
    <row r="306" spans="3:17">
      <c r="C306" s="574" t="s">
        <v>145</v>
      </c>
      <c r="D306" s="574"/>
      <c r="E306" s="162">
        <f>SUM(E$286:E$287)/$L$7</f>
        <v>63.920567375886527</v>
      </c>
      <c r="F306" s="162">
        <f>SUM(F$286:F$287)/$M$7</f>
        <v>17.2</v>
      </c>
      <c r="G306" s="162">
        <f>SUM(G$286:G$287)/$O$7</f>
        <v>7.1452587704063912</v>
      </c>
      <c r="I306" s="98"/>
      <c r="J306" s="98"/>
      <c r="M306" s="574" t="s">
        <v>145</v>
      </c>
      <c r="N306" s="574"/>
      <c r="O306" s="162">
        <f>SUM(O$286:O$287)/$L$7</f>
        <v>62.805673758865247</v>
      </c>
      <c r="P306" s="162">
        <f>SUM(P$286:P$287)/$M$7</f>
        <v>16.899999999999999</v>
      </c>
      <c r="Q306" s="162">
        <f>SUM(Q$286:Q$287)/$O$7</f>
        <v>7.0206321639458142</v>
      </c>
    </row>
    <row r="307" spans="3:17">
      <c r="C307" s="574" t="s">
        <v>26</v>
      </c>
      <c r="D307" s="574"/>
      <c r="E307" s="161"/>
      <c r="F307" s="161"/>
      <c r="G307" s="161"/>
      <c r="I307" s="98"/>
      <c r="J307" s="98"/>
      <c r="M307" s="574" t="s">
        <v>26</v>
      </c>
      <c r="N307" s="574"/>
      <c r="O307" s="161"/>
      <c r="P307" s="161"/>
      <c r="Q307" s="161"/>
    </row>
  </sheetData>
  <mergeCells count="145">
    <mergeCell ref="DR93:DU93"/>
    <mergeCell ref="AF7:AG9"/>
    <mergeCell ref="AI7:AN7"/>
    <mergeCell ref="AI8:AK8"/>
    <mergeCell ref="AL8:AN8"/>
    <mergeCell ref="A9:B9"/>
    <mergeCell ref="A10:B10"/>
    <mergeCell ref="AF10:AG10"/>
    <mergeCell ref="A6:B8"/>
    <mergeCell ref="D6:E6"/>
    <mergeCell ref="F6:H6"/>
    <mergeCell ref="S6:T6"/>
    <mergeCell ref="D7:E7"/>
    <mergeCell ref="F7:H7"/>
    <mergeCell ref="S7:S10"/>
    <mergeCell ref="S15:S16"/>
    <mergeCell ref="AF15:AG15"/>
    <mergeCell ref="S17:S18"/>
    <mergeCell ref="A19:B19"/>
    <mergeCell ref="A20:B20"/>
    <mergeCell ref="AF20:AG20"/>
    <mergeCell ref="A11:B11"/>
    <mergeCell ref="S11:S12"/>
    <mergeCell ref="AF11:AG11"/>
    <mergeCell ref="A12:B12"/>
    <mergeCell ref="AF12:AG12"/>
    <mergeCell ref="A13:B13"/>
    <mergeCell ref="S13:S14"/>
    <mergeCell ref="AF13:AG13"/>
    <mergeCell ref="A14:B14"/>
    <mergeCell ref="AF14:AG14"/>
    <mergeCell ref="Q26:S26"/>
    <mergeCell ref="A28:B28"/>
    <mergeCell ref="K28:L28"/>
    <mergeCell ref="A21:B21"/>
    <mergeCell ref="AF21:AG21"/>
    <mergeCell ref="AF22:AG22"/>
    <mergeCell ref="A25:B27"/>
    <mergeCell ref="D25:I25"/>
    <mergeCell ref="K25:L27"/>
    <mergeCell ref="N25:S25"/>
    <mergeCell ref="D26:F26"/>
    <mergeCell ref="G26:I26"/>
    <mergeCell ref="N26:P26"/>
    <mergeCell ref="M93:Z93"/>
    <mergeCell ref="B177:B178"/>
    <mergeCell ref="C177:D177"/>
    <mergeCell ref="E177:F177"/>
    <mergeCell ref="G177:H177"/>
    <mergeCell ref="A29:B29"/>
    <mergeCell ref="K29:L29"/>
    <mergeCell ref="A30:B30"/>
    <mergeCell ref="K30:L30"/>
    <mergeCell ref="A37:B37"/>
    <mergeCell ref="K37:L37"/>
    <mergeCell ref="A38:B38"/>
    <mergeCell ref="K38:L38"/>
    <mergeCell ref="A39:B39"/>
    <mergeCell ref="K39:L39"/>
    <mergeCell ref="A31:B31"/>
    <mergeCell ref="K31:L31"/>
    <mergeCell ref="A32:B32"/>
    <mergeCell ref="K32:L32"/>
    <mergeCell ref="A33:B33"/>
    <mergeCell ref="K33:L33"/>
    <mergeCell ref="X170:X171"/>
    <mergeCell ref="S173:S174"/>
    <mergeCell ref="U173:U174"/>
    <mergeCell ref="V173:V174"/>
    <mergeCell ref="W173:W174"/>
    <mergeCell ref="X173:X174"/>
    <mergeCell ref="C300:D300"/>
    <mergeCell ref="M300:N300"/>
    <mergeCell ref="C305:D305"/>
    <mergeCell ref="M305:N305"/>
    <mergeCell ref="C297:D297"/>
    <mergeCell ref="M297:N297"/>
    <mergeCell ref="C298:D298"/>
    <mergeCell ref="M298:N298"/>
    <mergeCell ref="C299:D299"/>
    <mergeCell ref="M299:N299"/>
    <mergeCell ref="B268:C269"/>
    <mergeCell ref="L268:M269"/>
    <mergeCell ref="B270:C271"/>
    <mergeCell ref="L270:M271"/>
    <mergeCell ref="B272:C273"/>
    <mergeCell ref="L272:M273"/>
    <mergeCell ref="B265:C265"/>
    <mergeCell ref="L265:M265"/>
    <mergeCell ref="S170:T171"/>
    <mergeCell ref="C294:D294"/>
    <mergeCell ref="M294:N294"/>
    <mergeCell ref="C295:D295"/>
    <mergeCell ref="M295:N295"/>
    <mergeCell ref="C296:D296"/>
    <mergeCell ref="M296:N296"/>
    <mergeCell ref="C282:C283"/>
    <mergeCell ref="M282:M283"/>
    <mergeCell ref="B266:C267"/>
    <mergeCell ref="E266:I267"/>
    <mergeCell ref="L266:M267"/>
    <mergeCell ref="O266:R267"/>
    <mergeCell ref="I177:K177"/>
    <mergeCell ref="C307:D307"/>
    <mergeCell ref="M307:N307"/>
    <mergeCell ref="B284:C285"/>
    <mergeCell ref="L284:M285"/>
    <mergeCell ref="B286:C287"/>
    <mergeCell ref="L286:M287"/>
    <mergeCell ref="B274:C275"/>
    <mergeCell ref="L274:M275"/>
    <mergeCell ref="B276:C277"/>
    <mergeCell ref="L276:M277"/>
    <mergeCell ref="B278:B283"/>
    <mergeCell ref="C278:C279"/>
    <mergeCell ref="L278:L283"/>
    <mergeCell ref="M278:M279"/>
    <mergeCell ref="C280:C281"/>
    <mergeCell ref="M280:M281"/>
    <mergeCell ref="C306:D306"/>
    <mergeCell ref="M306:N306"/>
    <mergeCell ref="DY43:DZ43"/>
    <mergeCell ref="DY93:DZ93"/>
    <mergeCell ref="BC43:BP43"/>
    <mergeCell ref="BQ43:CD43"/>
    <mergeCell ref="CE43:CR43"/>
    <mergeCell ref="M43:Z43"/>
    <mergeCell ref="AA43:AN43"/>
    <mergeCell ref="AO43:BB43"/>
    <mergeCell ref="AA93:AN93"/>
    <mergeCell ref="AO93:BB93"/>
    <mergeCell ref="BC93:BP93"/>
    <mergeCell ref="BQ93:CD93"/>
    <mergeCell ref="CE93:CR93"/>
    <mergeCell ref="CX43:DA43"/>
    <mergeCell ref="DB43:DE43"/>
    <mergeCell ref="DF43:DI43"/>
    <mergeCell ref="DJ43:DM43"/>
    <mergeCell ref="DR43:DU43"/>
    <mergeCell ref="CX93:DA93"/>
    <mergeCell ref="DB93:DE93"/>
    <mergeCell ref="DF93:DI93"/>
    <mergeCell ref="DJ93:DM93"/>
    <mergeCell ref="DN93:DQ93"/>
    <mergeCell ref="DN43:DQ43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P21"/>
  <sheetViews>
    <sheetView workbookViewId="0">
      <selection activeCell="H15" sqref="H15"/>
    </sheetView>
  </sheetViews>
  <sheetFormatPr defaultRowHeight="17"/>
  <cols>
    <col min="2" max="14" width="10.6640625" bestFit="1" customWidth="1"/>
  </cols>
  <sheetData>
    <row r="1" spans="1:16">
      <c r="A1" s="631" t="s">
        <v>434</v>
      </c>
      <c r="B1" s="223"/>
      <c r="C1" s="631" t="s">
        <v>435</v>
      </c>
      <c r="D1" s="631" t="s">
        <v>436</v>
      </c>
      <c r="E1" s="631" t="s">
        <v>437</v>
      </c>
      <c r="F1" s="631"/>
      <c r="G1" s="631"/>
      <c r="H1" s="631"/>
      <c r="I1" s="631"/>
      <c r="J1" s="631" t="s">
        <v>438</v>
      </c>
      <c r="K1" s="631"/>
      <c r="L1" s="631" t="s">
        <v>157</v>
      </c>
      <c r="M1" s="631" t="s">
        <v>439</v>
      </c>
      <c r="N1" s="631" t="s">
        <v>440</v>
      </c>
      <c r="O1" s="631" t="s">
        <v>441</v>
      </c>
      <c r="P1" s="631" t="s">
        <v>442</v>
      </c>
    </row>
    <row r="2" spans="1:16">
      <c r="A2" s="631"/>
      <c r="B2" s="223"/>
      <c r="C2" s="631"/>
      <c r="D2" s="631"/>
      <c r="E2" s="224" t="s">
        <v>443</v>
      </c>
      <c r="F2" s="224" t="s">
        <v>444</v>
      </c>
      <c r="G2" s="224" t="s">
        <v>445</v>
      </c>
      <c r="H2" s="224" t="s">
        <v>446</v>
      </c>
      <c r="I2" s="224" t="s">
        <v>447</v>
      </c>
      <c r="J2" s="224" t="s">
        <v>448</v>
      </c>
      <c r="K2" s="224" t="s">
        <v>449</v>
      </c>
      <c r="L2" s="631"/>
      <c r="M2" s="631"/>
      <c r="N2" s="631"/>
      <c r="O2" s="631"/>
      <c r="P2" s="631"/>
    </row>
    <row r="3" spans="1:16">
      <c r="A3" s="224" t="s">
        <v>452</v>
      </c>
      <c r="B3" s="198" t="s">
        <v>427</v>
      </c>
      <c r="C3" s="229">
        <f>ROUND(B14,4)*100</f>
        <v>0.27999999999999997</v>
      </c>
      <c r="D3" s="229">
        <f t="shared" ref="D3:O3" si="0">ROUND(C14,4)*100</f>
        <v>47.03</v>
      </c>
      <c r="E3" s="229">
        <f t="shared" si="0"/>
        <v>5.6899999999999995</v>
      </c>
      <c r="F3" s="229">
        <f t="shared" si="0"/>
        <v>9.17</v>
      </c>
      <c r="G3" s="229">
        <f t="shared" si="0"/>
        <v>0.91999999999999993</v>
      </c>
      <c r="H3" s="229">
        <f t="shared" si="0"/>
        <v>0.01</v>
      </c>
      <c r="I3" s="229">
        <f t="shared" si="0"/>
        <v>2.78</v>
      </c>
      <c r="J3" s="229">
        <f t="shared" si="0"/>
        <v>30.44</v>
      </c>
      <c r="K3" s="229">
        <f t="shared" si="0"/>
        <v>0.15</v>
      </c>
      <c r="L3" s="229">
        <f t="shared" si="0"/>
        <v>3.02</v>
      </c>
      <c r="M3" s="229">
        <f t="shared" si="0"/>
        <v>0.22999999999999998</v>
      </c>
      <c r="N3" s="229">
        <f t="shared" si="0"/>
        <v>0.1</v>
      </c>
      <c r="O3" s="229">
        <f t="shared" si="0"/>
        <v>0.18</v>
      </c>
      <c r="P3" s="229">
        <f>SUM(C3:O3)</f>
        <v>100</v>
      </c>
    </row>
    <row r="4" spans="1:16">
      <c r="A4" s="224" t="s">
        <v>450</v>
      </c>
      <c r="B4" s="224" t="s">
        <v>456</v>
      </c>
      <c r="C4" s="229">
        <f t="shared" ref="C4:O4" si="1">ROUND(B15,4)*100</f>
        <v>30.44</v>
      </c>
      <c r="D4" s="229">
        <f t="shared" si="1"/>
        <v>32.07</v>
      </c>
      <c r="E4" s="229">
        <f t="shared" si="1"/>
        <v>7.7700000000000005</v>
      </c>
      <c r="F4" s="229">
        <f t="shared" si="1"/>
        <v>0.95</v>
      </c>
      <c r="G4" s="229">
        <f t="shared" si="1"/>
        <v>11.709999999999999</v>
      </c>
      <c r="H4" s="229">
        <f t="shared" si="1"/>
        <v>0</v>
      </c>
      <c r="I4" s="229">
        <f t="shared" si="1"/>
        <v>3.4799999999999995</v>
      </c>
      <c r="J4" s="229">
        <f t="shared" si="1"/>
        <v>4.71</v>
      </c>
      <c r="K4" s="229">
        <f t="shared" si="1"/>
        <v>0</v>
      </c>
      <c r="L4" s="229">
        <f t="shared" si="1"/>
        <v>4.62</v>
      </c>
      <c r="M4" s="229">
        <f t="shared" si="1"/>
        <v>0.67</v>
      </c>
      <c r="N4" s="229">
        <f t="shared" si="1"/>
        <v>2.5</v>
      </c>
      <c r="O4" s="229">
        <f t="shared" si="1"/>
        <v>1.08</v>
      </c>
      <c r="P4" s="229">
        <f>SUM(C4:O4)</f>
        <v>100</v>
      </c>
    </row>
    <row r="5" spans="1:16">
      <c r="A5" s="224" t="s">
        <v>451</v>
      </c>
      <c r="B5" s="198" t="s">
        <v>429</v>
      </c>
      <c r="C5" s="229">
        <f t="shared" ref="C5:O5" si="2">ROUND(B16,4)*100</f>
        <v>0.06</v>
      </c>
      <c r="D5" s="229">
        <f t="shared" si="2"/>
        <v>73.28</v>
      </c>
      <c r="E5" s="229">
        <f t="shared" si="2"/>
        <v>9.85</v>
      </c>
      <c r="F5" s="229">
        <f t="shared" si="2"/>
        <v>2.1</v>
      </c>
      <c r="G5" s="229">
        <f t="shared" si="2"/>
        <v>0.65</v>
      </c>
      <c r="H5" s="229">
        <f t="shared" si="2"/>
        <v>6.9999999999999993E-2</v>
      </c>
      <c r="I5" s="229">
        <f t="shared" si="2"/>
        <v>2.77</v>
      </c>
      <c r="J5" s="229">
        <f t="shared" si="2"/>
        <v>6.2700000000000005</v>
      </c>
      <c r="K5" s="229">
        <f t="shared" si="2"/>
        <v>0.02</v>
      </c>
      <c r="L5" s="229">
        <f t="shared" si="2"/>
        <v>2.5499999999999998</v>
      </c>
      <c r="M5" s="229">
        <f t="shared" si="2"/>
        <v>0.67</v>
      </c>
      <c r="N5" s="229">
        <f t="shared" si="2"/>
        <v>0.16999999999999998</v>
      </c>
      <c r="O5" s="229">
        <f t="shared" si="2"/>
        <v>1.54</v>
      </c>
      <c r="P5" s="229">
        <f t="shared" ref="P5:P8" si="3">SUM(C5:O5)</f>
        <v>99.999999999999986</v>
      </c>
    </row>
    <row r="6" spans="1:16">
      <c r="A6" s="224" t="s">
        <v>453</v>
      </c>
      <c r="B6" s="198" t="s">
        <v>430</v>
      </c>
      <c r="C6" s="229">
        <f t="shared" ref="C6:O6" si="4">ROUND(B17,4)*100</f>
        <v>0</v>
      </c>
      <c r="D6" s="229">
        <f t="shared" si="4"/>
        <v>82.809999999999988</v>
      </c>
      <c r="E6" s="229">
        <f t="shared" si="4"/>
        <v>0.43</v>
      </c>
      <c r="F6" s="229">
        <f t="shared" si="4"/>
        <v>1.22</v>
      </c>
      <c r="G6" s="229">
        <f t="shared" si="4"/>
        <v>0</v>
      </c>
      <c r="H6" s="229">
        <f t="shared" si="4"/>
        <v>5.3100000000000005</v>
      </c>
      <c r="I6" s="229">
        <f t="shared" si="4"/>
        <v>3.54</v>
      </c>
      <c r="J6" s="229">
        <f t="shared" si="4"/>
        <v>4.9399999999999995</v>
      </c>
      <c r="K6" s="229">
        <f t="shared" si="4"/>
        <v>0</v>
      </c>
      <c r="L6" s="229">
        <f t="shared" si="4"/>
        <v>0.76</v>
      </c>
      <c r="M6" s="229">
        <f t="shared" si="4"/>
        <v>0.91</v>
      </c>
      <c r="N6" s="229">
        <f t="shared" si="4"/>
        <v>0</v>
      </c>
      <c r="O6" s="229">
        <f t="shared" si="4"/>
        <v>0.08</v>
      </c>
      <c r="P6" s="229">
        <f t="shared" si="3"/>
        <v>100</v>
      </c>
    </row>
    <row r="7" spans="1:16">
      <c r="A7" s="224" t="s">
        <v>454</v>
      </c>
      <c r="B7" s="198" t="s">
        <v>431</v>
      </c>
      <c r="C7" s="229">
        <f t="shared" ref="C7:O7" si="5">ROUND(B18,4)*100</f>
        <v>0</v>
      </c>
      <c r="D7" s="229">
        <f t="shared" si="5"/>
        <v>61.28</v>
      </c>
      <c r="E7" s="229">
        <f t="shared" si="5"/>
        <v>2.9899999999999998</v>
      </c>
      <c r="F7" s="229">
        <f t="shared" si="5"/>
        <v>1</v>
      </c>
      <c r="G7" s="229">
        <f t="shared" si="5"/>
        <v>0.42</v>
      </c>
      <c r="H7" s="229">
        <f t="shared" si="5"/>
        <v>5.59</v>
      </c>
      <c r="I7" s="229">
        <f t="shared" si="5"/>
        <v>18.670000000000002</v>
      </c>
      <c r="J7" s="229">
        <f t="shared" si="5"/>
        <v>0.02</v>
      </c>
      <c r="K7" s="229">
        <f t="shared" si="5"/>
        <v>7.7</v>
      </c>
      <c r="L7" s="229">
        <f t="shared" si="5"/>
        <v>6.9999999999999993E-2</v>
      </c>
      <c r="M7" s="229">
        <f t="shared" si="5"/>
        <v>1.87</v>
      </c>
      <c r="N7" s="229">
        <f t="shared" si="5"/>
        <v>0.38999999999999996</v>
      </c>
      <c r="O7" s="229">
        <f t="shared" si="5"/>
        <v>0</v>
      </c>
      <c r="P7" s="229">
        <f t="shared" si="3"/>
        <v>100</v>
      </c>
    </row>
    <row r="8" spans="1:16">
      <c r="A8" s="224" t="s">
        <v>455</v>
      </c>
      <c r="B8" s="224"/>
      <c r="C8" s="229">
        <f t="shared" ref="C8:N8" si="6">ROUND(B19,4)*100</f>
        <v>16.97</v>
      </c>
      <c r="D8" s="229">
        <f t="shared" si="6"/>
        <v>44.06</v>
      </c>
      <c r="E8" s="229">
        <f t="shared" si="6"/>
        <v>7.31</v>
      </c>
      <c r="F8" s="229">
        <f t="shared" si="6"/>
        <v>3.17</v>
      </c>
      <c r="G8" s="229">
        <f t="shared" si="6"/>
        <v>6.83</v>
      </c>
      <c r="H8" s="229">
        <f t="shared" si="6"/>
        <v>0.22999999999999998</v>
      </c>
      <c r="I8" s="229">
        <f t="shared" si="6"/>
        <v>3.37</v>
      </c>
      <c r="J8" s="229">
        <f t="shared" si="6"/>
        <v>11.27</v>
      </c>
      <c r="K8" s="229">
        <f t="shared" si="6"/>
        <v>0.13</v>
      </c>
      <c r="L8" s="229">
        <f t="shared" si="6"/>
        <v>3.74</v>
      </c>
      <c r="M8" s="229">
        <f t="shared" si="6"/>
        <v>0.57999999999999996</v>
      </c>
      <c r="N8" s="229">
        <f t="shared" si="6"/>
        <v>1.44</v>
      </c>
      <c r="O8" s="229">
        <f>ROUND(N19,4)*100 + 0.01</f>
        <v>0.9</v>
      </c>
      <c r="P8" s="229">
        <f t="shared" si="3"/>
        <v>100</v>
      </c>
    </row>
    <row r="10" spans="1:16">
      <c r="B10" s="194"/>
      <c r="C10" s="194"/>
      <c r="D10" s="194"/>
      <c r="E10" s="194"/>
      <c r="F10" s="194"/>
    </row>
    <row r="12" spans="1:16">
      <c r="A12" t="s">
        <v>1</v>
      </c>
      <c r="B12" t="s">
        <v>472</v>
      </c>
      <c r="C12" t="s">
        <v>156</v>
      </c>
      <c r="D12" t="s">
        <v>158</v>
      </c>
      <c r="I12" t="s">
        <v>488</v>
      </c>
      <c r="K12" t="s">
        <v>157</v>
      </c>
      <c r="L12" t="s">
        <v>473</v>
      </c>
      <c r="M12" t="s">
        <v>474</v>
      </c>
      <c r="N12" t="s">
        <v>46</v>
      </c>
      <c r="O12" t="s">
        <v>11</v>
      </c>
    </row>
    <row r="13" spans="1:16">
      <c r="D13" t="s">
        <v>475</v>
      </c>
      <c r="E13" t="s">
        <v>476</v>
      </c>
      <c r="F13" t="s">
        <v>477</v>
      </c>
      <c r="G13" t="s">
        <v>478</v>
      </c>
      <c r="H13" t="s">
        <v>479</v>
      </c>
      <c r="I13" t="s">
        <v>480</v>
      </c>
      <c r="J13" t="s">
        <v>449</v>
      </c>
    </row>
    <row r="14" spans="1:16">
      <c r="A14" t="s">
        <v>463</v>
      </c>
      <c r="B14" s="228">
        <v>2.7740423825669031E-3</v>
      </c>
      <c r="C14" s="228">
        <v>0.47032974826315488</v>
      </c>
      <c r="D14" s="228">
        <v>5.6916966937888183E-2</v>
      </c>
      <c r="E14" s="228">
        <v>9.1698875926385592E-2</v>
      </c>
      <c r="F14" s="228">
        <v>9.1867991587859677E-3</v>
      </c>
      <c r="G14" s="228">
        <v>7.7738650838895507E-5</v>
      </c>
      <c r="H14" s="228">
        <v>2.7803160280731997E-2</v>
      </c>
      <c r="I14" s="228">
        <v>0.30440682681737963</v>
      </c>
      <c r="J14" s="228">
        <v>1.4824897098575337E-3</v>
      </c>
      <c r="K14" s="228">
        <v>3.0244426684269243E-2</v>
      </c>
      <c r="L14" s="228">
        <v>2.2653315621650079E-3</v>
      </c>
      <c r="M14" s="228">
        <v>1.0392430164778664E-3</v>
      </c>
      <c r="N14" s="228">
        <v>1.7729867735186695E-3</v>
      </c>
      <c r="O14">
        <v>1</v>
      </c>
    </row>
    <row r="15" spans="1:16">
      <c r="A15" t="s">
        <v>467</v>
      </c>
      <c r="B15" s="228">
        <v>0.30439310892028199</v>
      </c>
      <c r="C15" s="228">
        <v>0.32066381514347297</v>
      </c>
      <c r="D15" s="228">
        <v>7.7684247006356649E-2</v>
      </c>
      <c r="E15" s="228">
        <v>9.4787306161782901E-3</v>
      </c>
      <c r="F15" s="228">
        <v>0.11709667514827617</v>
      </c>
      <c r="G15" s="228">
        <v>6.0800068096076265E-7</v>
      </c>
      <c r="H15" s="228">
        <v>3.481898299726096E-2</v>
      </c>
      <c r="I15" s="228">
        <v>4.7139508796249854E-2</v>
      </c>
      <c r="J15" s="228">
        <v>0</v>
      </c>
      <c r="K15" s="228">
        <v>4.6234195782299273E-2</v>
      </c>
      <c r="L15" s="228">
        <v>6.6904394932922329E-3</v>
      </c>
      <c r="M15" s="228">
        <v>2.4971195967739484E-2</v>
      </c>
      <c r="N15" s="228">
        <v>1.0829708129273105E-2</v>
      </c>
      <c r="O15">
        <v>1</v>
      </c>
    </row>
    <row r="16" spans="1:16">
      <c r="A16" t="s">
        <v>464</v>
      </c>
      <c r="B16" s="228">
        <v>5.7912573463171895E-4</v>
      </c>
      <c r="C16" s="228">
        <v>0.73282141478272056</v>
      </c>
      <c r="D16" s="228">
        <v>9.8498562910214069E-2</v>
      </c>
      <c r="E16" s="228">
        <v>2.104585817854232E-2</v>
      </c>
      <c r="F16" s="228">
        <v>6.5226717000557675E-3</v>
      </c>
      <c r="G16" s="228">
        <v>6.7350178027540642E-4</v>
      </c>
      <c r="H16" s="228">
        <v>2.7662905924241775E-2</v>
      </c>
      <c r="I16" s="228">
        <v>6.2678563768178111E-2</v>
      </c>
      <c r="J16" s="228">
        <v>2.2736047359615632E-4</v>
      </c>
      <c r="K16" s="228">
        <v>2.5498691604821759E-2</v>
      </c>
      <c r="L16" s="228">
        <v>6.6921196001887518E-3</v>
      </c>
      <c r="M16" s="228">
        <v>1.7073484620994379E-3</v>
      </c>
      <c r="N16" s="228">
        <v>1.5394019990562396E-2</v>
      </c>
      <c r="O16">
        <v>1</v>
      </c>
    </row>
    <row r="17" spans="1:15">
      <c r="A17" t="s">
        <v>465</v>
      </c>
      <c r="B17" s="228">
        <v>0</v>
      </c>
      <c r="C17" s="228">
        <v>0.82808694240181868</v>
      </c>
      <c r="D17" s="228">
        <v>4.3146442738175323E-3</v>
      </c>
      <c r="E17" s="228">
        <v>1.2224825442483008E-2</v>
      </c>
      <c r="F17" s="228">
        <v>0</v>
      </c>
      <c r="G17" s="228">
        <v>5.3086362476513028E-2</v>
      </c>
      <c r="H17" s="228">
        <v>3.5352246630633972E-2</v>
      </c>
      <c r="I17" s="228">
        <v>4.9374840520540954E-2</v>
      </c>
      <c r="J17" s="228">
        <v>0</v>
      </c>
      <c r="K17" s="228">
        <v>7.6086200097427448E-3</v>
      </c>
      <c r="L17" s="228">
        <v>9.0584332737943356E-3</v>
      </c>
      <c r="M17" s="228">
        <v>0</v>
      </c>
      <c r="N17" s="228">
        <v>8.0468347676819203E-4</v>
      </c>
      <c r="O17">
        <v>1</v>
      </c>
    </row>
    <row r="18" spans="1:15">
      <c r="A18" t="s">
        <v>466</v>
      </c>
      <c r="B18" s="228">
        <v>0</v>
      </c>
      <c r="C18" s="228">
        <v>0.61278404925963936</v>
      </c>
      <c r="D18" s="228">
        <v>2.9878316962322241E-2</v>
      </c>
      <c r="E18" s="228">
        <v>1.0027855153203343E-2</v>
      </c>
      <c r="F18" s="228">
        <v>4.1929335874505208E-3</v>
      </c>
      <c r="G18" s="228">
        <v>5.5856912476176517E-2</v>
      </c>
      <c r="H18" s="228">
        <v>0.18674681131798856</v>
      </c>
      <c r="I18" s="228">
        <v>2.3456971118604309E-4</v>
      </c>
      <c r="J18" s="228">
        <v>7.6997507696818651E-2</v>
      </c>
      <c r="K18" s="228">
        <v>7.330303474563847E-4</v>
      </c>
      <c r="L18" s="228">
        <v>1.8677613253188681E-2</v>
      </c>
      <c r="M18" s="228">
        <v>3.8704002345697113E-3</v>
      </c>
      <c r="N18" s="228">
        <v>0</v>
      </c>
      <c r="O18">
        <v>1</v>
      </c>
    </row>
    <row r="19" spans="1:15">
      <c r="A19" t="s">
        <v>11</v>
      </c>
      <c r="B19" s="228">
        <v>0.16965710609839155</v>
      </c>
      <c r="C19" s="228">
        <v>0.44061854550324286</v>
      </c>
      <c r="D19" s="228">
        <v>7.313704860477456E-2</v>
      </c>
      <c r="E19" s="228">
        <v>3.1719988139664555E-2</v>
      </c>
      <c r="F19" s="228">
        <v>6.8312631156048756E-2</v>
      </c>
      <c r="G19" s="228">
        <v>2.3120232969910978E-3</v>
      </c>
      <c r="H19" s="228">
        <v>3.3721672739072957E-2</v>
      </c>
      <c r="I19" s="228">
        <v>0.11273997698771092</v>
      </c>
      <c r="J19" s="228">
        <v>1.2882429196394809E-3</v>
      </c>
      <c r="K19" s="228">
        <v>3.7371188357711228E-2</v>
      </c>
      <c r="L19" s="228">
        <v>5.8029963201251611E-3</v>
      </c>
      <c r="M19" s="228">
        <v>1.4424340268841016E-2</v>
      </c>
      <c r="N19" s="228">
        <v>8.894576932457144E-3</v>
      </c>
      <c r="O19">
        <v>1</v>
      </c>
    </row>
    <row r="21" spans="1:15" ht="23">
      <c r="A21" s="226" t="s">
        <v>825</v>
      </c>
      <c r="B21" s="227"/>
      <c r="C21" s="227"/>
      <c r="D21" s="227"/>
      <c r="E21" s="227"/>
      <c r="F21" s="227"/>
      <c r="G21" s="227"/>
      <c r="H21" s="227"/>
      <c r="I21" s="227"/>
      <c r="J21" s="227"/>
    </row>
  </sheetData>
  <mergeCells count="10">
    <mergeCell ref="M1:M2"/>
    <mergeCell ref="N1:N2"/>
    <mergeCell ref="O1:O2"/>
    <mergeCell ref="P1:P2"/>
    <mergeCell ref="A1:A2"/>
    <mergeCell ref="C1:C2"/>
    <mergeCell ref="D1:D2"/>
    <mergeCell ref="E1:I1"/>
    <mergeCell ref="J1:K1"/>
    <mergeCell ref="L1:L2"/>
  </mergeCells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'A.일산테크노밸리(859991)_수정'!EH91</f>
        <v>10473.85830409246</v>
      </c>
      <c r="C2" s="411">
        <f>'E.관광문화단지(849301)_수정'!EQ17+'C.장항공공주택지구(849992)'!EY137+'B.고양영상밸리(849991)_수정'!EQ82</f>
        <v>16563.365137122928</v>
      </c>
    </row>
  </sheetData>
  <phoneticPr fontId="2" type="noConversion"/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O38"/>
  <sheetViews>
    <sheetView workbookViewId="0">
      <selection activeCell="M12" sqref="M12"/>
    </sheetView>
  </sheetViews>
  <sheetFormatPr defaultRowHeight="17"/>
  <cols>
    <col min="11" max="11" width="32.5" bestFit="1" customWidth="1"/>
    <col min="14" max="14" width="9.5" bestFit="1" customWidth="1"/>
  </cols>
  <sheetData>
    <row r="1" spans="1:15" ht="30.5" thickBot="1">
      <c r="A1" s="254" t="s">
        <v>534</v>
      </c>
      <c r="K1" s="254" t="s">
        <v>552</v>
      </c>
    </row>
    <row r="2" spans="1:15" ht="17.5" customHeight="1" thickTop="1">
      <c r="A2" s="632" t="s">
        <v>1</v>
      </c>
      <c r="B2" s="636" t="s">
        <v>527</v>
      </c>
      <c r="C2" s="637"/>
      <c r="D2" s="634" t="s">
        <v>528</v>
      </c>
      <c r="E2" s="635"/>
      <c r="F2" s="635"/>
      <c r="G2" s="635"/>
      <c r="H2" s="635"/>
    </row>
    <row r="3" spans="1:15" ht="17.5" thickBot="1">
      <c r="A3" s="633"/>
      <c r="B3" s="636"/>
      <c r="C3" s="637"/>
      <c r="D3" s="247" t="s">
        <v>529</v>
      </c>
      <c r="E3" s="247" t="s">
        <v>530</v>
      </c>
      <c r="F3" s="247" t="s">
        <v>531</v>
      </c>
      <c r="G3" s="247" t="s">
        <v>532</v>
      </c>
      <c r="H3" s="248" t="s">
        <v>533</v>
      </c>
      <c r="M3" t="s">
        <v>536</v>
      </c>
    </row>
    <row r="4" spans="1:15" ht="26" thickTop="1" thickBot="1">
      <c r="A4" s="232"/>
      <c r="B4" s="19"/>
      <c r="C4" s="19"/>
      <c r="D4" s="232" t="s">
        <v>555</v>
      </c>
      <c r="E4" s="232" t="s">
        <v>556</v>
      </c>
      <c r="F4" s="232" t="s">
        <v>557</v>
      </c>
      <c r="G4" s="232" t="s">
        <v>558</v>
      </c>
      <c r="H4" s="19" t="s">
        <v>559</v>
      </c>
      <c r="K4" s="235" t="s">
        <v>1</v>
      </c>
      <c r="L4" s="257" t="s">
        <v>475</v>
      </c>
      <c r="M4" s="257" t="s">
        <v>478</v>
      </c>
      <c r="N4" s="257" t="s">
        <v>479</v>
      </c>
      <c r="O4" s="249" t="s">
        <v>157</v>
      </c>
    </row>
    <row r="5" spans="1:15" ht="17.5" thickTop="1">
      <c r="A5" s="231" t="s">
        <v>493</v>
      </c>
      <c r="B5" s="235" t="s">
        <v>496</v>
      </c>
      <c r="C5" s="236">
        <v>8</v>
      </c>
      <c r="D5" s="237">
        <v>1.06</v>
      </c>
      <c r="E5" s="237">
        <v>1.31</v>
      </c>
      <c r="F5" s="237">
        <v>1.1399999999999999</v>
      </c>
      <c r="G5" s="237">
        <v>1.32</v>
      </c>
      <c r="H5" s="238">
        <v>1.28</v>
      </c>
      <c r="K5" s="192" t="s">
        <v>537</v>
      </c>
      <c r="L5" s="255">
        <v>19.27</v>
      </c>
      <c r="M5" s="255">
        <v>27.9</v>
      </c>
      <c r="N5" s="255">
        <v>27.9</v>
      </c>
      <c r="O5" s="256">
        <v>1.47</v>
      </c>
    </row>
    <row r="6" spans="1:15">
      <c r="A6" s="232" t="s">
        <v>494</v>
      </c>
      <c r="B6" s="239" t="s">
        <v>497</v>
      </c>
      <c r="C6" s="240">
        <v>9</v>
      </c>
      <c r="D6" s="241">
        <v>1.0900000000000001</v>
      </c>
      <c r="E6" s="241">
        <v>1.34</v>
      </c>
      <c r="F6" s="241">
        <v>1.23</v>
      </c>
      <c r="G6" s="241">
        <v>1.32</v>
      </c>
      <c r="H6" s="242">
        <v>1.33</v>
      </c>
      <c r="K6" s="192" t="s">
        <v>538</v>
      </c>
      <c r="L6" s="255">
        <v>19.63</v>
      </c>
      <c r="M6" s="255">
        <v>26.96</v>
      </c>
      <c r="N6" s="255">
        <v>26.96</v>
      </c>
      <c r="O6" s="256">
        <v>1.48</v>
      </c>
    </row>
    <row r="7" spans="1:15">
      <c r="A7" s="232" t="s">
        <v>495</v>
      </c>
      <c r="B7" s="239" t="s">
        <v>498</v>
      </c>
      <c r="C7" s="240">
        <v>10</v>
      </c>
      <c r="D7" s="241">
        <v>1.1100000000000001</v>
      </c>
      <c r="E7" s="241">
        <v>1.06</v>
      </c>
      <c r="F7" s="241">
        <v>1.19</v>
      </c>
      <c r="G7" s="241">
        <v>1.35</v>
      </c>
      <c r="H7" s="242">
        <v>1.47</v>
      </c>
      <c r="K7" s="192" t="s">
        <v>539</v>
      </c>
      <c r="L7" s="255">
        <v>16</v>
      </c>
      <c r="M7" s="255">
        <v>28.3</v>
      </c>
      <c r="N7" s="255">
        <v>28.3</v>
      </c>
      <c r="O7" s="256">
        <v>1.48</v>
      </c>
    </row>
    <row r="8" spans="1:15">
      <c r="A8" s="233"/>
      <c r="B8" s="239" t="s">
        <v>499</v>
      </c>
      <c r="C8" s="240">
        <v>11</v>
      </c>
      <c r="D8" s="241">
        <v>1.1000000000000001</v>
      </c>
      <c r="E8" s="241">
        <v>1.0900000000000001</v>
      </c>
      <c r="F8" s="241">
        <v>1.17</v>
      </c>
      <c r="G8" s="241">
        <v>1.23</v>
      </c>
      <c r="H8" s="242">
        <v>1.29</v>
      </c>
      <c r="K8" s="192" t="s">
        <v>540</v>
      </c>
      <c r="L8" s="255">
        <v>11.37</v>
      </c>
      <c r="M8" s="255">
        <v>25.59</v>
      </c>
      <c r="N8" s="255">
        <v>25.59</v>
      </c>
      <c r="O8" s="256">
        <v>1.49</v>
      </c>
    </row>
    <row r="9" spans="1:15">
      <c r="A9" s="233"/>
      <c r="B9" s="239" t="s">
        <v>500</v>
      </c>
      <c r="C9" s="240">
        <v>12</v>
      </c>
      <c r="D9" s="241">
        <v>1.1200000000000001</v>
      </c>
      <c r="E9" s="241">
        <v>1.19</v>
      </c>
      <c r="F9" s="241">
        <v>1.1499999999999999</v>
      </c>
      <c r="G9" s="241">
        <v>1.26</v>
      </c>
      <c r="H9" s="242">
        <v>1.27</v>
      </c>
      <c r="K9" s="192" t="s">
        <v>541</v>
      </c>
      <c r="L9" s="255">
        <v>19.16</v>
      </c>
      <c r="M9" s="255">
        <v>27.47</v>
      </c>
      <c r="N9" s="255">
        <v>27.47</v>
      </c>
      <c r="O9" s="256">
        <v>1.48</v>
      </c>
    </row>
    <row r="10" spans="1:15">
      <c r="A10" s="233"/>
      <c r="B10" s="239" t="s">
        <v>501</v>
      </c>
      <c r="C10" s="240">
        <v>13</v>
      </c>
      <c r="D10" s="241">
        <v>1.0900000000000001</v>
      </c>
      <c r="E10" s="241">
        <v>1.1499999999999999</v>
      </c>
      <c r="F10" s="241">
        <v>1.18</v>
      </c>
      <c r="G10" s="241">
        <v>1.3</v>
      </c>
      <c r="H10" s="242">
        <v>1.29</v>
      </c>
      <c r="K10" s="192" t="s">
        <v>542</v>
      </c>
      <c r="L10" s="255">
        <v>20.71</v>
      </c>
      <c r="M10" s="255">
        <v>28.64</v>
      </c>
      <c r="N10" s="255">
        <v>28.64</v>
      </c>
      <c r="O10" s="256">
        <v>1.48</v>
      </c>
    </row>
    <row r="11" spans="1:15">
      <c r="A11" s="233"/>
      <c r="B11" s="239" t="s">
        <v>502</v>
      </c>
      <c r="C11" s="240">
        <v>14</v>
      </c>
      <c r="D11" s="241">
        <v>1.2</v>
      </c>
      <c r="E11" s="241">
        <v>1.49</v>
      </c>
      <c r="F11" s="241">
        <v>1.1499999999999999</v>
      </c>
      <c r="G11" s="241">
        <v>1.46</v>
      </c>
      <c r="H11" s="242">
        <v>1.34</v>
      </c>
      <c r="K11" s="192" t="s">
        <v>543</v>
      </c>
      <c r="L11" s="255">
        <v>16.72</v>
      </c>
      <c r="M11" s="255">
        <v>28.08</v>
      </c>
      <c r="N11" s="255">
        <v>28.08</v>
      </c>
      <c r="O11" s="256">
        <v>1.48</v>
      </c>
    </row>
    <row r="12" spans="1:15">
      <c r="A12" s="233"/>
      <c r="B12" s="239" t="s">
        <v>503</v>
      </c>
      <c r="C12" s="240">
        <v>15</v>
      </c>
      <c r="D12" s="241">
        <v>1.1000000000000001</v>
      </c>
      <c r="E12" s="241">
        <v>1.1000000000000001</v>
      </c>
      <c r="F12" s="241">
        <v>1.21</v>
      </c>
      <c r="G12" s="241">
        <v>1.43</v>
      </c>
      <c r="H12" s="242">
        <v>1.31</v>
      </c>
      <c r="K12" s="260" t="s">
        <v>535</v>
      </c>
      <c r="L12" s="261">
        <v>11.58</v>
      </c>
      <c r="M12" s="261">
        <v>28.79</v>
      </c>
      <c r="N12" s="261">
        <v>28.79</v>
      </c>
      <c r="O12" s="262">
        <v>1.5</v>
      </c>
    </row>
    <row r="13" spans="1:15">
      <c r="A13" s="233"/>
      <c r="B13" s="239" t="s">
        <v>504</v>
      </c>
      <c r="C13" s="240">
        <v>16</v>
      </c>
      <c r="D13" s="241">
        <v>1.1299999999999999</v>
      </c>
      <c r="E13" s="241">
        <v>1.1599999999999999</v>
      </c>
      <c r="F13" s="241">
        <v>1.1499999999999999</v>
      </c>
      <c r="G13" s="241">
        <v>1.29</v>
      </c>
      <c r="H13" s="242">
        <v>1.26</v>
      </c>
      <c r="K13" s="192" t="s">
        <v>544</v>
      </c>
      <c r="L13" s="255">
        <v>12.41</v>
      </c>
      <c r="M13" s="255">
        <v>26.99</v>
      </c>
      <c r="N13" s="255">
        <v>26.99</v>
      </c>
      <c r="O13" s="256">
        <v>1.48</v>
      </c>
    </row>
    <row r="14" spans="1:15">
      <c r="A14" s="233"/>
      <c r="B14" s="250" t="s">
        <v>505</v>
      </c>
      <c r="C14" s="251">
        <v>17</v>
      </c>
      <c r="D14" s="252">
        <v>1.1200000000000001</v>
      </c>
      <c r="E14" s="252">
        <v>1.36</v>
      </c>
      <c r="F14" s="252">
        <v>1.3</v>
      </c>
      <c r="G14" s="252">
        <v>1.26</v>
      </c>
      <c r="H14" s="253">
        <v>1.41</v>
      </c>
      <c r="K14" s="192" t="s">
        <v>545</v>
      </c>
      <c r="L14" s="255">
        <v>13.52</v>
      </c>
      <c r="M14" s="255">
        <v>27.3</v>
      </c>
      <c r="N14" s="255">
        <v>27.3</v>
      </c>
      <c r="O14" s="256">
        <v>1.48</v>
      </c>
    </row>
    <row r="15" spans="1:15">
      <c r="A15" s="233"/>
      <c r="B15" s="239" t="s">
        <v>506</v>
      </c>
      <c r="C15" s="240">
        <v>18</v>
      </c>
      <c r="D15" s="241">
        <v>1.1000000000000001</v>
      </c>
      <c r="E15" s="241">
        <v>1.51</v>
      </c>
      <c r="F15" s="241">
        <v>1.19</v>
      </c>
      <c r="G15" s="241">
        <v>1.33</v>
      </c>
      <c r="H15" s="242">
        <v>1.31</v>
      </c>
      <c r="K15" s="192" t="s">
        <v>546</v>
      </c>
      <c r="L15" s="255">
        <v>10.4</v>
      </c>
      <c r="M15" s="255">
        <v>28.96</v>
      </c>
      <c r="N15" s="255">
        <v>28.96</v>
      </c>
      <c r="O15" s="256">
        <v>1.48</v>
      </c>
    </row>
    <row r="16" spans="1:15">
      <c r="A16" s="233"/>
      <c r="B16" s="239" t="s">
        <v>507</v>
      </c>
      <c r="C16" s="240">
        <v>19</v>
      </c>
      <c r="D16" s="241">
        <v>1.06</v>
      </c>
      <c r="E16" s="241">
        <v>1</v>
      </c>
      <c r="F16" s="241">
        <v>1.1599999999999999</v>
      </c>
      <c r="G16" s="241">
        <v>1.32</v>
      </c>
      <c r="H16" s="242">
        <v>1.47</v>
      </c>
      <c r="K16" s="192" t="s">
        <v>547</v>
      </c>
      <c r="L16" s="255">
        <v>12.02</v>
      </c>
      <c r="M16" s="255">
        <v>27.65</v>
      </c>
      <c r="N16" s="255">
        <v>27.65</v>
      </c>
      <c r="O16" s="256">
        <v>1.48</v>
      </c>
    </row>
    <row r="17" spans="1:15">
      <c r="A17" s="233"/>
      <c r="B17" s="239" t="s">
        <v>508</v>
      </c>
      <c r="C17" s="240">
        <v>20</v>
      </c>
      <c r="D17" s="241">
        <v>1.0900000000000001</v>
      </c>
      <c r="E17" s="241">
        <v>1.1200000000000001</v>
      </c>
      <c r="F17" s="241">
        <v>1.23</v>
      </c>
      <c r="G17" s="241">
        <v>1.35</v>
      </c>
      <c r="H17" s="242">
        <v>1.36</v>
      </c>
      <c r="K17" s="192" t="s">
        <v>548</v>
      </c>
      <c r="L17" s="255">
        <v>17.25</v>
      </c>
      <c r="M17" s="255">
        <v>27.63</v>
      </c>
      <c r="N17" s="255">
        <v>27.63</v>
      </c>
      <c r="O17" s="256">
        <v>1.48</v>
      </c>
    </row>
    <row r="18" spans="1:15">
      <c r="A18" s="233"/>
      <c r="B18" s="239" t="s">
        <v>509</v>
      </c>
      <c r="C18" s="240">
        <v>21</v>
      </c>
      <c r="D18" s="241">
        <v>1.1399999999999999</v>
      </c>
      <c r="E18" s="241">
        <v>1.01</v>
      </c>
      <c r="F18" s="241">
        <v>1.1499999999999999</v>
      </c>
      <c r="G18" s="241">
        <v>1.3</v>
      </c>
      <c r="H18" s="242">
        <v>1.55</v>
      </c>
      <c r="K18" s="192" t="s">
        <v>549</v>
      </c>
      <c r="L18" s="255">
        <v>8.44</v>
      </c>
      <c r="M18" s="255">
        <v>28.73</v>
      </c>
      <c r="N18" s="255">
        <v>28.73</v>
      </c>
      <c r="O18" s="256">
        <v>1.48</v>
      </c>
    </row>
    <row r="19" spans="1:15">
      <c r="A19" s="233"/>
      <c r="B19" s="239" t="s">
        <v>510</v>
      </c>
      <c r="C19" s="240">
        <v>16</v>
      </c>
      <c r="D19" s="241">
        <v>1.1299999999999999</v>
      </c>
      <c r="E19" s="241">
        <v>1.1599999999999999</v>
      </c>
      <c r="F19" s="241">
        <v>1.1499999999999999</v>
      </c>
      <c r="G19" s="241">
        <v>1.19</v>
      </c>
      <c r="H19" s="242">
        <v>1.26</v>
      </c>
      <c r="K19" s="192" t="s">
        <v>550</v>
      </c>
      <c r="L19" s="255">
        <v>10.33</v>
      </c>
      <c r="M19" s="255">
        <v>28.16</v>
      </c>
      <c r="N19" s="255">
        <v>28.16</v>
      </c>
      <c r="O19" s="256">
        <v>1.48</v>
      </c>
    </row>
    <row r="20" spans="1:15" ht="17.5" thickBot="1">
      <c r="A20" s="233"/>
      <c r="B20" s="239" t="s">
        <v>511</v>
      </c>
      <c r="C20" s="240">
        <v>18</v>
      </c>
      <c r="D20" s="241">
        <v>1.1000000000000001</v>
      </c>
      <c r="E20" s="241">
        <v>1.51</v>
      </c>
      <c r="F20" s="241">
        <v>1.19</v>
      </c>
      <c r="G20" s="241">
        <v>1.27</v>
      </c>
      <c r="H20" s="242">
        <v>1.31</v>
      </c>
      <c r="K20" s="193" t="s">
        <v>551</v>
      </c>
      <c r="L20" s="258">
        <v>14.59</v>
      </c>
      <c r="M20" s="258">
        <v>25.96</v>
      </c>
      <c r="N20" s="258">
        <v>25.96</v>
      </c>
      <c r="O20" s="259">
        <v>1.48</v>
      </c>
    </row>
    <row r="21" spans="1:15" ht="17.5" thickTop="1">
      <c r="A21" s="233"/>
      <c r="B21" s="239" t="s">
        <v>512</v>
      </c>
      <c r="C21" s="240">
        <v>18</v>
      </c>
      <c r="D21" s="241">
        <v>1.1000000000000001</v>
      </c>
      <c r="E21" s="241">
        <v>1.51</v>
      </c>
      <c r="F21" s="241">
        <v>1.19</v>
      </c>
      <c r="G21" s="241">
        <v>1.29</v>
      </c>
      <c r="H21" s="242">
        <v>1.31</v>
      </c>
    </row>
    <row r="22" spans="1:15">
      <c r="A22" s="233"/>
      <c r="B22" s="239" t="s">
        <v>513</v>
      </c>
      <c r="C22" s="240">
        <v>22</v>
      </c>
      <c r="D22" s="241">
        <v>1.06</v>
      </c>
      <c r="E22" s="241">
        <v>1.06</v>
      </c>
      <c r="F22" s="241">
        <v>1.1200000000000001</v>
      </c>
      <c r="G22" s="241">
        <v>1.38</v>
      </c>
      <c r="H22" s="242">
        <v>1.48</v>
      </c>
    </row>
    <row r="23" spans="1:15">
      <c r="A23" s="233"/>
      <c r="B23" s="239" t="s">
        <v>514</v>
      </c>
      <c r="C23" s="240">
        <v>23</v>
      </c>
      <c r="D23" s="241">
        <v>1.1499999999999999</v>
      </c>
      <c r="E23" s="241">
        <v>1.0900000000000001</v>
      </c>
      <c r="F23" s="241">
        <v>1.17</v>
      </c>
      <c r="G23" s="241">
        <v>1.35</v>
      </c>
      <c r="H23" s="242">
        <v>1.34</v>
      </c>
    </row>
    <row r="24" spans="1:15">
      <c r="A24" s="233"/>
      <c r="B24" s="239" t="s">
        <v>515</v>
      </c>
      <c r="C24" s="240">
        <v>24</v>
      </c>
      <c r="D24" s="241">
        <v>1.08</v>
      </c>
      <c r="E24" s="241">
        <v>1.1599999999999999</v>
      </c>
      <c r="F24" s="241">
        <v>1.37</v>
      </c>
      <c r="G24" s="241">
        <v>1.36</v>
      </c>
      <c r="H24" s="242">
        <v>1.48</v>
      </c>
    </row>
    <row r="25" spans="1:15">
      <c r="A25" s="233"/>
      <c r="B25" s="239" t="s">
        <v>516</v>
      </c>
      <c r="C25" s="240">
        <v>25</v>
      </c>
      <c r="D25" s="241">
        <v>1.22</v>
      </c>
      <c r="E25" s="241">
        <v>1.29</v>
      </c>
      <c r="F25" s="241">
        <v>1.26</v>
      </c>
      <c r="G25" s="241">
        <v>1.53</v>
      </c>
      <c r="H25" s="242">
        <v>1.45</v>
      </c>
    </row>
    <row r="26" spans="1:15">
      <c r="A26" s="233"/>
      <c r="B26" s="239" t="s">
        <v>517</v>
      </c>
      <c r="C26" s="240">
        <v>14</v>
      </c>
      <c r="D26" s="241">
        <v>1.2</v>
      </c>
      <c r="E26" s="241">
        <v>1.49</v>
      </c>
      <c r="F26" s="241">
        <v>1.1499999999999999</v>
      </c>
      <c r="G26" s="241">
        <v>1.4</v>
      </c>
      <c r="H26" s="242">
        <v>1.34</v>
      </c>
    </row>
    <row r="27" spans="1:15">
      <c r="A27" s="233"/>
      <c r="B27" s="239" t="s">
        <v>518</v>
      </c>
      <c r="C27" s="240">
        <v>26</v>
      </c>
      <c r="D27" s="241">
        <v>1.03</v>
      </c>
      <c r="E27" s="241">
        <v>1.1499999999999999</v>
      </c>
      <c r="F27" s="241">
        <v>1.17</v>
      </c>
      <c r="G27" s="241">
        <v>1.34</v>
      </c>
      <c r="H27" s="242">
        <v>1.32</v>
      </c>
    </row>
    <row r="28" spans="1:15">
      <c r="A28" s="233"/>
      <c r="B28" s="239" t="s">
        <v>519</v>
      </c>
      <c r="C28" s="240">
        <v>27</v>
      </c>
      <c r="D28" s="241">
        <v>1.06</v>
      </c>
      <c r="E28" s="241">
        <v>1.23</v>
      </c>
      <c r="F28" s="241">
        <v>1.1299999999999999</v>
      </c>
      <c r="G28" s="241">
        <v>1.31</v>
      </c>
      <c r="H28" s="242">
        <v>1.23</v>
      </c>
    </row>
    <row r="29" spans="1:15">
      <c r="A29" s="233"/>
      <c r="B29" s="239" t="s">
        <v>520</v>
      </c>
      <c r="C29" s="240">
        <v>28</v>
      </c>
      <c r="D29" s="241">
        <v>1.1499999999999999</v>
      </c>
      <c r="E29" s="241">
        <v>1.1399999999999999</v>
      </c>
      <c r="F29" s="241">
        <v>1.21</v>
      </c>
      <c r="G29" s="241">
        <v>1.35</v>
      </c>
      <c r="H29" s="242">
        <v>1.49</v>
      </c>
    </row>
    <row r="30" spans="1:15">
      <c r="A30" s="233"/>
      <c r="B30" s="239" t="s">
        <v>521</v>
      </c>
      <c r="C30" s="240">
        <v>15</v>
      </c>
      <c r="D30" s="241">
        <v>1.1000000000000001</v>
      </c>
      <c r="E30" s="241">
        <v>1.1000000000000001</v>
      </c>
      <c r="F30" s="241">
        <v>1.21</v>
      </c>
      <c r="G30" s="241">
        <v>1.36</v>
      </c>
      <c r="H30" s="242">
        <v>1.31</v>
      </c>
    </row>
    <row r="31" spans="1:15">
      <c r="A31" s="233"/>
      <c r="B31" s="239" t="s">
        <v>522</v>
      </c>
      <c r="C31" s="240">
        <v>15</v>
      </c>
      <c r="D31" s="241">
        <v>1.1000000000000001</v>
      </c>
      <c r="E31" s="241">
        <v>1.1000000000000001</v>
      </c>
      <c r="F31" s="241">
        <v>1.21</v>
      </c>
      <c r="G31" s="241">
        <v>1.36</v>
      </c>
      <c r="H31" s="242">
        <v>1.31</v>
      </c>
    </row>
    <row r="32" spans="1:15">
      <c r="A32" s="233"/>
      <c r="B32" s="239" t="s">
        <v>523</v>
      </c>
      <c r="C32" s="240">
        <v>25</v>
      </c>
      <c r="D32" s="241">
        <v>1.22</v>
      </c>
      <c r="E32" s="241">
        <v>1.29</v>
      </c>
      <c r="F32" s="241">
        <v>1.26</v>
      </c>
      <c r="G32" s="241">
        <v>1.56</v>
      </c>
      <c r="H32" s="242">
        <v>1.45</v>
      </c>
    </row>
    <row r="33" spans="1:10">
      <c r="A33" s="233"/>
      <c r="B33" s="239" t="s">
        <v>524</v>
      </c>
      <c r="C33" s="240">
        <v>15</v>
      </c>
      <c r="D33" s="241">
        <v>1.1000000000000001</v>
      </c>
      <c r="E33" s="241">
        <v>1.1000000000000001</v>
      </c>
      <c r="F33" s="241">
        <v>1.21</v>
      </c>
      <c r="G33" s="241">
        <v>1.3</v>
      </c>
      <c r="H33" s="242">
        <v>1.31</v>
      </c>
    </row>
    <row r="34" spans="1:10">
      <c r="A34" s="233"/>
      <c r="B34" s="239" t="s">
        <v>525</v>
      </c>
      <c r="C34" s="240">
        <v>29</v>
      </c>
      <c r="D34" s="241">
        <v>1.1499999999999999</v>
      </c>
      <c r="E34" s="241">
        <v>2.09</v>
      </c>
      <c r="F34" s="241">
        <v>1.23</v>
      </c>
      <c r="G34" s="241">
        <v>1.8</v>
      </c>
      <c r="H34" s="242">
        <v>1.47</v>
      </c>
    </row>
    <row r="35" spans="1:10" ht="17.5" thickBot="1">
      <c r="A35" s="234"/>
      <c r="B35" s="243" t="s">
        <v>526</v>
      </c>
      <c r="C35" s="244">
        <v>29</v>
      </c>
      <c r="D35" s="245">
        <v>1.1499999999999999</v>
      </c>
      <c r="E35" s="245">
        <v>2.09</v>
      </c>
      <c r="F35" s="245">
        <v>1.23</v>
      </c>
      <c r="G35" s="245">
        <v>1.52</v>
      </c>
      <c r="H35" s="246">
        <v>1.47</v>
      </c>
    </row>
    <row r="36" spans="1:10" ht="17.5" thickTop="1"/>
    <row r="38" spans="1:10" ht="23">
      <c r="A38" s="226" t="s">
        <v>561</v>
      </c>
      <c r="B38" s="227"/>
      <c r="C38" s="227"/>
      <c r="D38" s="227"/>
      <c r="E38" s="227"/>
      <c r="F38" s="227"/>
      <c r="G38" s="227"/>
      <c r="H38" s="227"/>
      <c r="I38" s="227"/>
      <c r="J38" s="227"/>
    </row>
  </sheetData>
  <mergeCells count="3">
    <mergeCell ref="A2:A3"/>
    <mergeCell ref="D2:H2"/>
    <mergeCell ref="B2:C3"/>
  </mergeCells>
  <phoneticPr fontId="2" type="noConversion"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H13"/>
  <sheetViews>
    <sheetView workbookViewId="0">
      <selection activeCell="E8" sqref="E8"/>
    </sheetView>
  </sheetViews>
  <sheetFormatPr defaultRowHeight="17"/>
  <cols>
    <col min="7" max="7" width="11.25" bestFit="1" customWidth="1"/>
  </cols>
  <sheetData>
    <row r="1" spans="1:8">
      <c r="A1" t="s">
        <v>842</v>
      </c>
      <c r="B1" t="s">
        <v>844</v>
      </c>
    </row>
    <row r="2" spans="1:8">
      <c r="B2" t="s">
        <v>843</v>
      </c>
    </row>
    <row r="3" spans="1:8">
      <c r="B3" t="s">
        <v>850</v>
      </c>
    </row>
    <row r="5" spans="1:8">
      <c r="A5" t="s">
        <v>848</v>
      </c>
    </row>
    <row r="6" spans="1:8">
      <c r="C6" t="s">
        <v>834</v>
      </c>
      <c r="D6" t="s">
        <v>835</v>
      </c>
      <c r="E6" t="s">
        <v>836</v>
      </c>
      <c r="F6" t="s">
        <v>837</v>
      </c>
      <c r="G6" t="s">
        <v>838</v>
      </c>
      <c r="H6" t="s">
        <v>839</v>
      </c>
    </row>
    <row r="7" spans="1:8">
      <c r="B7" t="s">
        <v>840</v>
      </c>
      <c r="C7">
        <v>3.3276365000000002E-2</v>
      </c>
      <c r="D7">
        <v>4.1014570000000002E-3</v>
      </c>
      <c r="E7">
        <v>-5.765081E-3</v>
      </c>
      <c r="F7">
        <v>-7.9329919999999998E-3</v>
      </c>
      <c r="G7">
        <v>-1.0003636E-2</v>
      </c>
      <c r="H7">
        <v>-1.3263053E-2</v>
      </c>
    </row>
    <row r="8" spans="1:8">
      <c r="B8" t="s">
        <v>841</v>
      </c>
      <c r="C8">
        <v>3.3276365000000002E-2</v>
      </c>
      <c r="D8">
        <v>4.1014570000000002E-3</v>
      </c>
      <c r="E8">
        <v>-5.765081E-3</v>
      </c>
      <c r="F8">
        <v>-7.9329919999999998E-3</v>
      </c>
      <c r="G8">
        <v>-1.0003636E-2</v>
      </c>
      <c r="H8">
        <v>-1.3263053E-2</v>
      </c>
    </row>
    <row r="10" spans="1:8">
      <c r="A10" t="s">
        <v>849</v>
      </c>
    </row>
    <row r="11" spans="1:8">
      <c r="C11" t="s">
        <v>834</v>
      </c>
      <c r="D11" t="s">
        <v>835</v>
      </c>
      <c r="E11" t="s">
        <v>836</v>
      </c>
      <c r="F11" t="s">
        <v>837</v>
      </c>
      <c r="G11" t="s">
        <v>838</v>
      </c>
      <c r="H11" t="s">
        <v>839</v>
      </c>
    </row>
    <row r="12" spans="1:8">
      <c r="B12" t="s">
        <v>840</v>
      </c>
      <c r="C12">
        <v>6.5363019999999999E-3</v>
      </c>
      <c r="D12">
        <v>4.8167230000000002E-3</v>
      </c>
      <c r="E12">
        <v>3.635381E-3</v>
      </c>
      <c r="F12">
        <v>2.8425770000000002E-3</v>
      </c>
      <c r="G12">
        <v>2.8586530000000001E-3</v>
      </c>
      <c r="H12">
        <v>2.8770100000000002E-3</v>
      </c>
    </row>
    <row r="13" spans="1:8">
      <c r="B13" t="s">
        <v>841</v>
      </c>
      <c r="C13">
        <v>6.6108679999999998E-3</v>
      </c>
      <c r="D13">
        <v>4.8407060000000002E-3</v>
      </c>
      <c r="E13">
        <v>3.6351869999999998E-3</v>
      </c>
      <c r="F13">
        <v>2.8304570000000002E-3</v>
      </c>
      <c r="G13">
        <v>2.837886E-3</v>
      </c>
      <c r="H13">
        <v>2.8418079999999999E-3</v>
      </c>
    </row>
  </sheetData>
  <phoneticPr fontId="2" type="noConversion"/>
  <pageMargins left="0.7" right="0.7" top="0.75" bottom="0.75" header="0.3" footer="0.3"/>
  <legacy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2:AB15"/>
  <sheetViews>
    <sheetView workbookViewId="0">
      <selection activeCell="G6" sqref="G6"/>
    </sheetView>
  </sheetViews>
  <sheetFormatPr defaultRowHeight="17"/>
  <cols>
    <col min="7" max="7" width="11.25" bestFit="1" customWidth="1"/>
    <col min="23" max="23" width="12.5" bestFit="1" customWidth="1"/>
  </cols>
  <sheetData>
    <row r="2" spans="1:28">
      <c r="A2" t="s">
        <v>900</v>
      </c>
      <c r="K2" s="32" t="s">
        <v>459</v>
      </c>
      <c r="S2" s="32" t="s">
        <v>460</v>
      </c>
    </row>
    <row r="3" spans="1:28">
      <c r="A3" s="194"/>
      <c r="B3" s="194" t="s">
        <v>427</v>
      </c>
      <c r="C3" s="194" t="s">
        <v>428</v>
      </c>
      <c r="D3" s="194" t="s">
        <v>429</v>
      </c>
      <c r="E3" s="194" t="s">
        <v>430</v>
      </c>
      <c r="F3" s="194" t="s">
        <v>431</v>
      </c>
      <c r="G3" s="194" t="s">
        <v>458</v>
      </c>
      <c r="K3" s="194"/>
      <c r="L3" s="194" t="s">
        <v>427</v>
      </c>
      <c r="M3" s="194" t="s">
        <v>428</v>
      </c>
      <c r="N3" s="194" t="s">
        <v>429</v>
      </c>
      <c r="O3" s="194" t="s">
        <v>430</v>
      </c>
      <c r="P3" s="194" t="s">
        <v>431</v>
      </c>
      <c r="Q3" s="194" t="s">
        <v>458</v>
      </c>
      <c r="S3" s="194"/>
      <c r="T3" s="194" t="s">
        <v>427</v>
      </c>
      <c r="U3" s="197" t="s">
        <v>428</v>
      </c>
      <c r="V3" s="194" t="s">
        <v>429</v>
      </c>
      <c r="W3" s="194" t="s">
        <v>430</v>
      </c>
      <c r="X3" s="194" t="s">
        <v>431</v>
      </c>
      <c r="AB3" t="s">
        <v>428</v>
      </c>
    </row>
    <row r="4" spans="1:28">
      <c r="A4" s="194" t="s">
        <v>427</v>
      </c>
      <c r="B4" s="194">
        <v>2279201.1488885498</v>
      </c>
      <c r="C4" s="194">
        <v>16385.115400771301</v>
      </c>
      <c r="D4" s="194">
        <v>172936.97013795099</v>
      </c>
      <c r="E4" s="194">
        <v>9881.6713802389604</v>
      </c>
      <c r="F4" s="194">
        <v>5666.0142425459599</v>
      </c>
      <c r="G4">
        <f>SUM(B4:F4)</f>
        <v>2484070.9200500571</v>
      </c>
      <c r="K4" s="194" t="s">
        <v>427</v>
      </c>
      <c r="L4" s="194">
        <f>B4/$G4</f>
        <v>0.91752660139132458</v>
      </c>
      <c r="M4" s="194">
        <f t="shared" ref="M4:P5" si="0">C4/$G4</f>
        <v>6.5960739158128067E-3</v>
      </c>
      <c r="N4" s="194">
        <f t="shared" si="0"/>
        <v>6.9618370692277221E-2</v>
      </c>
      <c r="O4" s="194">
        <f t="shared" si="0"/>
        <v>3.9780149996844023E-3</v>
      </c>
      <c r="P4" s="194">
        <f t="shared" si="0"/>
        <v>2.2809390009009014E-3</v>
      </c>
      <c r="Q4">
        <f>SUM(L4:P4)</f>
        <v>1</v>
      </c>
      <c r="S4" s="194" t="s">
        <v>427</v>
      </c>
      <c r="T4" s="194">
        <f>B4/B$9</f>
        <v>0.91347736792042322</v>
      </c>
      <c r="U4" s="197">
        <f t="shared" ref="U4:U8" si="1">C4/C$9</f>
        <v>0.11553344389165299</v>
      </c>
      <c r="V4" s="194">
        <f t="shared" ref="V4:V8" si="2">D4/D$9</f>
        <v>0.11873127353805193</v>
      </c>
      <c r="W4" s="194">
        <f t="shared" ref="W4:W8" si="3">E4/E$9</f>
        <v>2.7697778251300934E-2</v>
      </c>
      <c r="X4" s="194">
        <f t="shared" ref="X4:X8" si="4">F4/F$9</f>
        <v>9.541559281617799E-5</v>
      </c>
      <c r="AB4">
        <v>0.11553344389165274</v>
      </c>
    </row>
    <row r="5" spans="1:28">
      <c r="A5" s="194" t="s">
        <v>428</v>
      </c>
      <c r="B5" s="194">
        <v>15249.536864948701</v>
      </c>
      <c r="C5" s="194">
        <v>118582.43225018099</v>
      </c>
      <c r="D5" s="194">
        <v>5256.2081809781703</v>
      </c>
      <c r="E5" s="194">
        <v>14.254123880618801</v>
      </c>
      <c r="F5" s="194">
        <v>40.386684328419797</v>
      </c>
      <c r="G5">
        <f t="shared" ref="G5:G8" si="5">SUM(B5:F5)</f>
        <v>139142.81810431692</v>
      </c>
      <c r="K5" s="197" t="s">
        <v>428</v>
      </c>
      <c r="L5" s="197">
        <f t="shared" ref="L5" si="6">B5/$G5</f>
        <v>0.10959629158521106</v>
      </c>
      <c r="M5" s="197">
        <f t="shared" si="0"/>
        <v>0.85223537848197406</v>
      </c>
      <c r="N5" s="197">
        <f t="shared" si="0"/>
        <v>3.7775634075756126E-2</v>
      </c>
      <c r="O5" s="197">
        <f t="shared" si="0"/>
        <v>1.0244239749357617E-4</v>
      </c>
      <c r="P5" s="197">
        <f t="shared" si="0"/>
        <v>2.9025345956513147E-4</v>
      </c>
      <c r="Q5" s="34">
        <f t="shared" ref="Q5:Q8" si="7">SUM(L5:P5)</f>
        <v>1</v>
      </c>
      <c r="S5" s="194" t="s">
        <v>428</v>
      </c>
      <c r="T5" s="194">
        <f t="shared" ref="T5:T8" si="8">B5/B$9</f>
        <v>6.1118373883725903E-3</v>
      </c>
      <c r="U5" s="197">
        <f t="shared" si="1"/>
        <v>0.83613916947250255</v>
      </c>
      <c r="V5" s="194">
        <f t="shared" si="2"/>
        <v>3.6086921773339897E-3</v>
      </c>
      <c r="W5" s="194">
        <f t="shared" si="3"/>
        <v>3.995352073754201E-5</v>
      </c>
      <c r="X5" s="194">
        <f t="shared" si="4"/>
        <v>6.8011114376311288E-7</v>
      </c>
      <c r="AB5">
        <v>0.836139169472503</v>
      </c>
    </row>
    <row r="6" spans="1:28">
      <c r="A6" s="194" t="s">
        <v>429</v>
      </c>
      <c r="B6" s="194">
        <v>191406.75115626201</v>
      </c>
      <c r="C6" s="194">
        <v>6802.7806220253096</v>
      </c>
      <c r="D6" s="194">
        <v>1155908.48000736</v>
      </c>
      <c r="E6" s="194">
        <v>20138.7013560009</v>
      </c>
      <c r="F6" s="194">
        <v>52640.479491124999</v>
      </c>
      <c r="G6">
        <f t="shared" si="5"/>
        <v>1426897.1926327734</v>
      </c>
      <c r="K6" s="194" t="s">
        <v>429</v>
      </c>
      <c r="L6" s="194">
        <f t="shared" ref="L6" si="9">B6/$G6</f>
        <v>0.13414193548387091</v>
      </c>
      <c r="M6" s="194">
        <f t="shared" ref="M6" si="10">C6/$G6</f>
        <v>4.7675338189386114E-3</v>
      </c>
      <c r="N6" s="194">
        <f t="shared" ref="N6" si="11">D6/$G6</f>
        <v>0.81008532778355868</v>
      </c>
      <c r="O6" s="194">
        <f t="shared" ref="O6" si="12">E6/$G6</f>
        <v>1.4113631633714903E-2</v>
      </c>
      <c r="P6" s="194">
        <f t="shared" ref="P6" si="13">F6/$G6</f>
        <v>3.6891571279916706E-2</v>
      </c>
      <c r="Q6">
        <f t="shared" si="7"/>
        <v>0.99999999999999978</v>
      </c>
      <c r="S6" s="194" t="s">
        <v>429</v>
      </c>
      <c r="T6" s="194">
        <f t="shared" si="8"/>
        <v>7.671360438445067E-2</v>
      </c>
      <c r="U6" s="197">
        <f t="shared" si="1"/>
        <v>4.796723453439871E-2</v>
      </c>
      <c r="V6" s="194">
        <f t="shared" si="2"/>
        <v>0.79359830240595752</v>
      </c>
      <c r="W6" s="194">
        <f t="shared" si="3"/>
        <v>5.6447665882023851E-2</v>
      </c>
      <c r="X6" s="194">
        <f t="shared" si="4"/>
        <v>8.864648660884141E-4</v>
      </c>
      <c r="AB6">
        <v>4.796723453439862E-2</v>
      </c>
    </row>
    <row r="7" spans="1:28">
      <c r="A7" s="194" t="s">
        <v>430</v>
      </c>
      <c r="B7" s="194">
        <v>7678.2213970266503</v>
      </c>
      <c r="C7" s="194">
        <v>10.690592910464099</v>
      </c>
      <c r="D7" s="194">
        <v>20522.3748571209</v>
      </c>
      <c r="E7" s="194">
        <v>326733.02759154403</v>
      </c>
      <c r="F7" s="194">
        <v>0</v>
      </c>
      <c r="G7">
        <f t="shared" si="5"/>
        <v>354944.31443860207</v>
      </c>
      <c r="K7" s="194" t="s">
        <v>430</v>
      </c>
      <c r="L7" s="194">
        <f t="shared" ref="L7:L8" si="14">B7/$G7</f>
        <v>2.1632185908290753E-2</v>
      </c>
      <c r="M7" s="194">
        <f t="shared" ref="M7:M8" si="15">C7/$G7</f>
        <v>3.0119070726271198E-5</v>
      </c>
      <c r="N7" s="194">
        <f t="shared" ref="N7:N8" si="16">D7/$G7</f>
        <v>5.7818576104198563E-2</v>
      </c>
      <c r="O7" s="194">
        <f t="shared" ref="O7:O8" si="17">E7/$G7</f>
        <v>0.92051911891678428</v>
      </c>
      <c r="P7" s="194">
        <f t="shared" ref="P7:P8" si="18">F7/$G7</f>
        <v>0</v>
      </c>
      <c r="Q7">
        <f t="shared" si="7"/>
        <v>0.99999999999999989</v>
      </c>
      <c r="S7" s="194" t="s">
        <v>430</v>
      </c>
      <c r="T7" s="194">
        <f t="shared" si="8"/>
        <v>3.0773420220003363E-3</v>
      </c>
      <c r="U7" s="197">
        <f t="shared" si="1"/>
        <v>7.53806723955979E-5</v>
      </c>
      <c r="V7" s="194">
        <f t="shared" si="2"/>
        <v>1.4089802202892526E-2</v>
      </c>
      <c r="W7" s="194">
        <f t="shared" si="3"/>
        <v>0.91581460234593759</v>
      </c>
      <c r="X7" s="194">
        <f t="shared" si="4"/>
        <v>0</v>
      </c>
      <c r="AB7">
        <v>7.538067239559748E-5</v>
      </c>
    </row>
    <row r="8" spans="1:28">
      <c r="A8" s="194" t="s">
        <v>431</v>
      </c>
      <c r="B8" s="194">
        <v>1546.57244104714</v>
      </c>
      <c r="C8" s="194">
        <v>40.386684328419904</v>
      </c>
      <c r="D8" s="194">
        <v>101916.985746424</v>
      </c>
      <c r="E8" s="194">
        <v>0</v>
      </c>
      <c r="F8" s="194">
        <v>59324130.084974498</v>
      </c>
      <c r="G8">
        <f t="shared" si="5"/>
        <v>59427634.029846296</v>
      </c>
      <c r="K8" s="194" t="s">
        <v>431</v>
      </c>
      <c r="L8" s="194">
        <f t="shared" si="14"/>
        <v>2.60244659962469E-5</v>
      </c>
      <c r="M8" s="194">
        <f t="shared" si="15"/>
        <v>6.7959435013240688E-7</v>
      </c>
      <c r="N8" s="194">
        <f t="shared" si="16"/>
        <v>1.7149763306282446E-3</v>
      </c>
      <c r="O8" s="194">
        <f t="shared" si="17"/>
        <v>0</v>
      </c>
      <c r="P8" s="194">
        <f t="shared" si="18"/>
        <v>0.99825831960902545</v>
      </c>
      <c r="Q8">
        <f t="shared" si="7"/>
        <v>1</v>
      </c>
      <c r="S8" s="194" t="s">
        <v>431</v>
      </c>
      <c r="T8" s="194">
        <f t="shared" si="8"/>
        <v>6.1984828475316266E-4</v>
      </c>
      <c r="U8" s="197">
        <f t="shared" si="1"/>
        <v>2.8477142905003629E-4</v>
      </c>
      <c r="V8" s="194">
        <f t="shared" si="2"/>
        <v>6.9971929675764016E-2</v>
      </c>
      <c r="W8" s="194">
        <f t="shared" si="3"/>
        <v>0</v>
      </c>
      <c r="X8" s="194">
        <f t="shared" si="4"/>
        <v>0.99901743942995158</v>
      </c>
      <c r="AB8">
        <v>2.8477142905003597E-4</v>
      </c>
    </row>
    <row r="9" spans="1:28">
      <c r="A9" s="194" t="s">
        <v>458</v>
      </c>
      <c r="B9">
        <f>SUM(B4:B8)</f>
        <v>2495082.2307478343</v>
      </c>
      <c r="C9">
        <f t="shared" ref="C9:F9" si="19">SUM(C4:C8)</f>
        <v>141821.4055502165</v>
      </c>
      <c r="D9">
        <f t="shared" si="19"/>
        <v>1456541.018929834</v>
      </c>
      <c r="E9">
        <f t="shared" si="19"/>
        <v>356767.65445166454</v>
      </c>
      <c r="F9">
        <f t="shared" si="19"/>
        <v>59382476.9653925</v>
      </c>
      <c r="G9">
        <f>SUM(G4:G8)</f>
        <v>63832689.275072046</v>
      </c>
      <c r="H9" t="b">
        <f>SUM(B9:F9)=G9</f>
        <v>0</v>
      </c>
      <c r="K9" s="194"/>
      <c r="S9" s="194" t="s">
        <v>458</v>
      </c>
      <c r="T9">
        <f>SUM(T4:T8)</f>
        <v>1</v>
      </c>
      <c r="U9" s="34">
        <f t="shared" ref="U9" si="20">SUM(U4:U8)</f>
        <v>0.99999999999999989</v>
      </c>
      <c r="V9">
        <f t="shared" ref="V9" si="21">SUM(V4:V8)</f>
        <v>1</v>
      </c>
      <c r="W9">
        <f t="shared" ref="W9" si="22">SUM(W4:W8)</f>
        <v>0.99999999999999989</v>
      </c>
      <c r="X9">
        <f t="shared" ref="X9" si="23">SUM(X4:X8)</f>
        <v>0.99999999999999989</v>
      </c>
      <c r="AB9">
        <v>1.0000000000000002</v>
      </c>
    </row>
    <row r="11" spans="1:28" ht="30">
      <c r="A11" s="196"/>
      <c r="B11">
        <f t="shared" ref="B11:E11" si="24">B5/$G$5</f>
        <v>0.10959629158521106</v>
      </c>
      <c r="C11">
        <f t="shared" si="24"/>
        <v>0.85223537848197406</v>
      </c>
      <c r="D11">
        <f t="shared" si="24"/>
        <v>3.7775634075756126E-2</v>
      </c>
      <c r="E11">
        <f t="shared" si="24"/>
        <v>1.0244239749357617E-4</v>
      </c>
      <c r="F11">
        <f>F5/$G$5</f>
        <v>2.9025345956513147E-4</v>
      </c>
      <c r="K11" s="199"/>
      <c r="L11" s="200" t="s">
        <v>427</v>
      </c>
      <c r="M11" s="200" t="s">
        <v>428</v>
      </c>
      <c r="N11" s="200" t="s">
        <v>429</v>
      </c>
      <c r="O11" s="200" t="s">
        <v>430</v>
      </c>
      <c r="P11" s="200" t="s">
        <v>431</v>
      </c>
      <c r="Q11" s="200" t="s">
        <v>461</v>
      </c>
      <c r="S11" s="199"/>
      <c r="T11" s="200" t="s">
        <v>427</v>
      </c>
      <c r="U11" s="200" t="s">
        <v>428</v>
      </c>
      <c r="V11" s="200" t="s">
        <v>429</v>
      </c>
      <c r="W11" s="200" t="s">
        <v>430</v>
      </c>
      <c r="X11" s="200" t="s">
        <v>431</v>
      </c>
      <c r="Y11" s="200" t="s">
        <v>461</v>
      </c>
    </row>
    <row r="12" spans="1:28">
      <c r="K12" s="200" t="s">
        <v>428</v>
      </c>
      <c r="L12" s="200">
        <f>L5</f>
        <v>0.10959629158521106</v>
      </c>
      <c r="M12" s="200">
        <f t="shared" ref="M12:Q12" si="25">M5</f>
        <v>0.85223537848197406</v>
      </c>
      <c r="N12" s="200">
        <f t="shared" si="25"/>
        <v>3.7775634075756126E-2</v>
      </c>
      <c r="O12" s="200">
        <f t="shared" si="25"/>
        <v>1.0244239749357617E-4</v>
      </c>
      <c r="P12" s="200">
        <f t="shared" si="25"/>
        <v>2.9025345956513147E-4</v>
      </c>
      <c r="Q12" s="200">
        <f t="shared" si="25"/>
        <v>1</v>
      </c>
      <c r="S12" s="199" t="s">
        <v>428</v>
      </c>
      <c r="T12" s="199">
        <f>U4</f>
        <v>0.11553344389165299</v>
      </c>
      <c r="U12" s="199">
        <f>U5</f>
        <v>0.83613916947250255</v>
      </c>
      <c r="V12" s="199">
        <f>U6</f>
        <v>4.796723453439871E-2</v>
      </c>
      <c r="W12" s="199">
        <f>U7</f>
        <v>7.53806723955979E-5</v>
      </c>
      <c r="X12" s="199">
        <f>U8</f>
        <v>2.8477142905003629E-4</v>
      </c>
      <c r="Y12" s="199">
        <f>U9</f>
        <v>0.99999999999999989</v>
      </c>
    </row>
    <row r="13" spans="1:28">
      <c r="Q13" t="b">
        <f>SUM(L12:P12)=Q12</f>
        <v>1</v>
      </c>
      <c r="Y13" t="b">
        <f>SUM(T12:X12)=Y12</f>
        <v>1</v>
      </c>
    </row>
    <row r="15" spans="1:28" ht="30">
      <c r="A15" s="195"/>
    </row>
  </sheetData>
  <phoneticPr fontId="2" type="noConversion"/>
  <pageMargins left="0.7" right="0.7" top="0.75" bottom="0.75" header="0.3" footer="0.3"/>
  <legacy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P28"/>
  <sheetViews>
    <sheetView workbookViewId="0">
      <selection activeCell="G15" sqref="G15"/>
    </sheetView>
  </sheetViews>
  <sheetFormatPr defaultRowHeight="17"/>
  <cols>
    <col min="1" max="1" width="38" style="427" bestFit="1" customWidth="1"/>
    <col min="2" max="9" width="8.6640625" style="427"/>
    <col min="10" max="10" width="40.5" style="427" bestFit="1" customWidth="1"/>
    <col min="11" max="16384" width="8.6640625" style="427"/>
  </cols>
  <sheetData>
    <row r="1" spans="1:16" s="426" customFormat="1" ht="23">
      <c r="A1" s="425" t="s">
        <v>868</v>
      </c>
    </row>
    <row r="2" spans="1:16">
      <c r="J2" s="427" t="s">
        <v>869</v>
      </c>
      <c r="K2" s="427" t="s">
        <v>870</v>
      </c>
    </row>
    <row r="3" spans="1:16">
      <c r="B3" s="427" t="s">
        <v>871</v>
      </c>
      <c r="C3" s="427" t="s">
        <v>872</v>
      </c>
      <c r="D3" s="427" t="s">
        <v>873</v>
      </c>
      <c r="E3" s="427" t="s">
        <v>874</v>
      </c>
      <c r="F3" s="427" t="s">
        <v>875</v>
      </c>
      <c r="G3" s="427" t="s">
        <v>876</v>
      </c>
    </row>
    <row r="4" spans="1:16">
      <c r="A4" s="427">
        <v>2025</v>
      </c>
      <c r="B4" s="427">
        <v>22151.49</v>
      </c>
      <c r="C4" s="427">
        <v>22461.8</v>
      </c>
      <c r="D4" s="427">
        <v>42.683999999999997</v>
      </c>
      <c r="E4" s="427">
        <v>25.37</v>
      </c>
      <c r="F4" s="427">
        <v>1517.5440000000001</v>
      </c>
      <c r="G4" s="427">
        <v>1573.2439999999999</v>
      </c>
    </row>
    <row r="5" spans="1:16">
      <c r="A5" s="427">
        <v>2020</v>
      </c>
      <c r="B5" s="427">
        <v>16523.95</v>
      </c>
      <c r="C5" s="427">
        <v>16937.05</v>
      </c>
      <c r="D5" s="427">
        <v>21.37</v>
      </c>
      <c r="E5" s="427">
        <v>14.486000000000001</v>
      </c>
      <c r="F5" s="427">
        <v>1466.248</v>
      </c>
      <c r="G5" s="427">
        <v>1518.346</v>
      </c>
    </row>
    <row r="6" spans="1:16">
      <c r="A6" s="428">
        <v>2019</v>
      </c>
      <c r="B6" s="428">
        <f>B5/(1+B8)</f>
        <v>15537.154544211986</v>
      </c>
      <c r="C6" s="428">
        <f t="shared" ref="C6:G6" si="0">C5/(1+C8)</f>
        <v>15955.912810422771</v>
      </c>
      <c r="D6" s="428">
        <f t="shared" si="0"/>
        <v>18.998325019526163</v>
      </c>
      <c r="E6" s="428">
        <f t="shared" si="0"/>
        <v>13.082831511872131</v>
      </c>
      <c r="F6" s="428">
        <f t="shared" si="0"/>
        <v>1453.9613053278688</v>
      </c>
      <c r="G6" s="428">
        <f t="shared" si="0"/>
        <v>1505.2149645213499</v>
      </c>
    </row>
    <row r="8" spans="1:16">
      <c r="A8" s="427" t="s">
        <v>877</v>
      </c>
      <c r="B8" s="427">
        <f>(1-B5/B4)/4</f>
        <v>6.3511980458199419E-2</v>
      </c>
      <c r="C8" s="427">
        <f>(1-C5/C4)/4</f>
        <v>6.1490508329697546E-2</v>
      </c>
      <c r="D8" s="427">
        <f t="shared" ref="D8:G8" si="1">(1-D5/D4)/4</f>
        <v>0.12483600412332488</v>
      </c>
      <c r="E8" s="427">
        <f t="shared" si="1"/>
        <v>0.10725266062278282</v>
      </c>
      <c r="F8" s="427">
        <f t="shared" si="1"/>
        <v>8.4504963282777956E-3</v>
      </c>
      <c r="G8" s="427">
        <f t="shared" si="1"/>
        <v>8.7236944809578054E-3</v>
      </c>
    </row>
    <row r="9" spans="1:16">
      <c r="A9" s="427" t="s">
        <v>878</v>
      </c>
    </row>
    <row r="11" spans="1:16">
      <c r="J11" s="427" t="s">
        <v>879</v>
      </c>
    </row>
    <row r="12" spans="1:16">
      <c r="A12" s="429" t="s">
        <v>880</v>
      </c>
      <c r="B12" s="427">
        <f>B4-B6</f>
        <v>6614.3354557880157</v>
      </c>
      <c r="C12" s="427">
        <f t="shared" ref="C12:G12" si="2">C4-C6</f>
        <v>6505.8871895772281</v>
      </c>
      <c r="D12" s="427">
        <f t="shared" si="2"/>
        <v>23.685674980473834</v>
      </c>
      <c r="E12" s="427">
        <f t="shared" si="2"/>
        <v>12.28716848812787</v>
      </c>
      <c r="F12" s="427">
        <f t="shared" si="2"/>
        <v>63.582694672131311</v>
      </c>
      <c r="G12" s="427">
        <f t="shared" si="2"/>
        <v>68.02903547865003</v>
      </c>
      <c r="K12" s="427" t="s">
        <v>881</v>
      </c>
      <c r="L12" s="427" t="s">
        <v>882</v>
      </c>
      <c r="M12" s="427" t="s">
        <v>873</v>
      </c>
      <c r="N12" s="427" t="s">
        <v>874</v>
      </c>
      <c r="O12" s="427" t="s">
        <v>883</v>
      </c>
      <c r="P12" s="427" t="s">
        <v>876</v>
      </c>
    </row>
    <row r="13" spans="1:16">
      <c r="A13" s="430" t="s">
        <v>884</v>
      </c>
      <c r="B13" s="427">
        <f>B$12*B23</f>
        <v>-136.96839873709013</v>
      </c>
      <c r="C13" s="427">
        <f t="shared" ref="C13:G13" si="3">C$12*C23</f>
        <v>-1.4597098527887793</v>
      </c>
      <c r="D13" s="427">
        <f t="shared" si="3"/>
        <v>1.3291239043173875</v>
      </c>
      <c r="E13" s="427">
        <f t="shared" si="3"/>
        <v>1.2486659246635243</v>
      </c>
      <c r="F13" s="427">
        <f t="shared" si="3"/>
        <v>2.2241281513909459</v>
      </c>
      <c r="G13" s="427">
        <f t="shared" si="3"/>
        <v>2.4579039193629422</v>
      </c>
      <c r="J13" s="427">
        <v>2025</v>
      </c>
      <c r="K13" s="427">
        <f>B$12+B13</f>
        <v>6477.3670570509257</v>
      </c>
      <c r="L13" s="427">
        <f t="shared" ref="L13:P13" si="4">C$12+C13</f>
        <v>6504.4274797244398</v>
      </c>
      <c r="M13" s="427">
        <f t="shared" si="4"/>
        <v>25.014798884791222</v>
      </c>
      <c r="N13" s="427">
        <f t="shared" si="4"/>
        <v>13.535834412791395</v>
      </c>
      <c r="O13" s="427">
        <f t="shared" si="4"/>
        <v>65.806822823522253</v>
      </c>
      <c r="P13" s="427">
        <f t="shared" si="4"/>
        <v>70.486939398012979</v>
      </c>
    </row>
    <row r="14" spans="1:16">
      <c r="A14" s="430" t="s">
        <v>885</v>
      </c>
      <c r="B14" s="427">
        <f t="shared" ref="B14:G18" si="5">B$12*B24</f>
        <v>-19.951699192108912</v>
      </c>
      <c r="C14" s="427">
        <f t="shared" si="5"/>
        <v>-66.15324538206842</v>
      </c>
      <c r="D14" s="427">
        <f t="shared" si="5"/>
        <v>7.3231419430618866E-2</v>
      </c>
      <c r="E14" s="427">
        <f t="shared" si="5"/>
        <v>-5.1045944773560413E-2</v>
      </c>
      <c r="F14" s="427">
        <f t="shared" si="5"/>
        <v>1.6410989623185865</v>
      </c>
      <c r="G14" s="427">
        <f t="shared" si="5"/>
        <v>1.8014039743476842</v>
      </c>
      <c r="J14" s="427">
        <v>2030</v>
      </c>
      <c r="K14" s="427">
        <f>K13+B14</f>
        <v>6457.4153578588166</v>
      </c>
      <c r="L14" s="427">
        <f t="shared" ref="L14:P18" si="6">L13+C14</f>
        <v>6438.2742343423715</v>
      </c>
      <c r="M14" s="427">
        <f t="shared" si="6"/>
        <v>25.088030304221842</v>
      </c>
      <c r="N14" s="427">
        <f t="shared" si="6"/>
        <v>13.484788468017834</v>
      </c>
      <c r="O14" s="427">
        <f t="shared" si="6"/>
        <v>67.447921785840833</v>
      </c>
      <c r="P14" s="427">
        <f t="shared" si="6"/>
        <v>72.288343372360657</v>
      </c>
    </row>
    <row r="15" spans="1:16">
      <c r="A15" s="430" t="s">
        <v>886</v>
      </c>
      <c r="B15" s="427">
        <f t="shared" si="5"/>
        <v>-175.08411810760236</v>
      </c>
      <c r="C15" s="427">
        <f t="shared" si="5"/>
        <v>-158.15057395623887</v>
      </c>
      <c r="D15" s="427">
        <f t="shared" si="5"/>
        <v>-0.29825580358050607</v>
      </c>
      <c r="E15" s="427">
        <f t="shared" si="5"/>
        <v>-0.31596957959006705</v>
      </c>
      <c r="F15" s="427">
        <f t="shared" si="5"/>
        <v>1.2394406852863418</v>
      </c>
      <c r="G15" s="427">
        <f t="shared" si="5"/>
        <v>1.3535825727464796</v>
      </c>
      <c r="J15" s="427">
        <v>2035</v>
      </c>
      <c r="K15" s="427">
        <f t="shared" ref="K15:K18" si="7">K14+B15</f>
        <v>6282.3312397512145</v>
      </c>
      <c r="L15" s="427">
        <f t="shared" si="6"/>
        <v>6280.1236603861325</v>
      </c>
      <c r="M15" s="427">
        <f t="shared" si="6"/>
        <v>24.789774500641336</v>
      </c>
      <c r="N15" s="427">
        <f t="shared" si="6"/>
        <v>13.168818888427767</v>
      </c>
      <c r="O15" s="427">
        <f t="shared" si="6"/>
        <v>68.687362471127173</v>
      </c>
      <c r="P15" s="427">
        <f t="shared" si="6"/>
        <v>73.641925945107133</v>
      </c>
    </row>
    <row r="16" spans="1:16">
      <c r="A16" s="430" t="s">
        <v>887</v>
      </c>
      <c r="B16" s="427">
        <f t="shared" si="5"/>
        <v>-216.27735345574047</v>
      </c>
      <c r="C16" s="427">
        <f t="shared" si="5"/>
        <v>-182.1713990965257</v>
      </c>
      <c r="D16" s="427">
        <f t="shared" si="5"/>
        <v>-0.4397254364035289</v>
      </c>
      <c r="E16" s="427">
        <f t="shared" si="5"/>
        <v>-0.2890523651016581</v>
      </c>
      <c r="F16" s="427">
        <f t="shared" si="5"/>
        <v>0.96960979622475119</v>
      </c>
      <c r="G16" s="427">
        <f t="shared" si="5"/>
        <v>1.0542367838949092</v>
      </c>
      <c r="J16" s="427">
        <v>2040</v>
      </c>
      <c r="K16" s="427">
        <f t="shared" si="7"/>
        <v>6066.0538862954745</v>
      </c>
      <c r="L16" s="427">
        <f t="shared" si="6"/>
        <v>6097.9522612896071</v>
      </c>
      <c r="M16" s="427">
        <f t="shared" si="6"/>
        <v>24.350049064237808</v>
      </c>
      <c r="N16" s="427">
        <f t="shared" si="6"/>
        <v>12.879766523326108</v>
      </c>
      <c r="O16" s="427">
        <f t="shared" si="6"/>
        <v>69.656972267351918</v>
      </c>
      <c r="P16" s="427">
        <f t="shared" si="6"/>
        <v>74.69616272900204</v>
      </c>
    </row>
    <row r="17" spans="1:16">
      <c r="A17" s="430" t="s">
        <v>888</v>
      </c>
      <c r="B17" s="427">
        <f t="shared" si="5"/>
        <v>-310.99586904405407</v>
      </c>
      <c r="C17" s="427">
        <f t="shared" si="5"/>
        <v>-297.17738936856841</v>
      </c>
      <c r="D17" s="427">
        <f t="shared" si="5"/>
        <v>-0.34718572111846069</v>
      </c>
      <c r="E17" s="427">
        <f t="shared" si="5"/>
        <v>-0.21699838860465218</v>
      </c>
      <c r="F17" s="427">
        <f t="shared" si="5"/>
        <v>0.97632490659731985</v>
      </c>
      <c r="G17" s="427">
        <f t="shared" si="5"/>
        <v>1.0567892017720795</v>
      </c>
      <c r="J17" s="427">
        <v>2045</v>
      </c>
      <c r="K17" s="427">
        <f t="shared" si="7"/>
        <v>5755.0580172514201</v>
      </c>
      <c r="L17" s="427">
        <f t="shared" si="6"/>
        <v>5800.7748719210385</v>
      </c>
      <c r="M17" s="427">
        <f t="shared" si="6"/>
        <v>24.002863343119348</v>
      </c>
      <c r="N17" s="427">
        <f t="shared" si="6"/>
        <v>12.662768134721455</v>
      </c>
      <c r="O17" s="427">
        <f t="shared" si="6"/>
        <v>70.633297173949245</v>
      </c>
      <c r="P17" s="427">
        <f t="shared" si="6"/>
        <v>75.752951930774117</v>
      </c>
    </row>
    <row r="18" spans="1:16">
      <c r="A18" s="430" t="s">
        <v>889</v>
      </c>
      <c r="B18" s="427">
        <f t="shared" si="5"/>
        <v>-425.80154313374544</v>
      </c>
      <c r="C18" s="427">
        <f t="shared" si="5"/>
        <v>-426.13130614152811</v>
      </c>
      <c r="D18" s="427">
        <f t="shared" si="5"/>
        <v>-1.0646206891136625</v>
      </c>
      <c r="E18" s="427">
        <f t="shared" si="5"/>
        <v>-0.62484310756648598</v>
      </c>
      <c r="F18" s="427">
        <f t="shared" si="5"/>
        <v>0.98334005560387527</v>
      </c>
      <c r="G18" s="427">
        <f t="shared" si="5"/>
        <v>1.0579041565503018</v>
      </c>
      <c r="J18" s="427">
        <v>2050</v>
      </c>
      <c r="K18" s="427">
        <f t="shared" si="7"/>
        <v>5329.2564741176748</v>
      </c>
      <c r="L18" s="427">
        <f t="shared" si="6"/>
        <v>5374.64356577951</v>
      </c>
      <c r="M18" s="427">
        <f t="shared" si="6"/>
        <v>22.938242654005684</v>
      </c>
      <c r="N18" s="427">
        <f t="shared" si="6"/>
        <v>12.037925027154969</v>
      </c>
      <c r="O18" s="427">
        <f t="shared" si="6"/>
        <v>71.61663722955312</v>
      </c>
      <c r="P18" s="427">
        <f t="shared" si="6"/>
        <v>76.810856087324424</v>
      </c>
    </row>
    <row r="20" spans="1:16" s="426" customFormat="1" ht="23">
      <c r="A20" s="425" t="s">
        <v>890</v>
      </c>
    </row>
    <row r="22" spans="1:16">
      <c r="B22" s="427" t="s">
        <v>881</v>
      </c>
      <c r="C22" s="427" t="s">
        <v>872</v>
      </c>
      <c r="D22" s="427" t="s">
        <v>891</v>
      </c>
      <c r="E22" s="427" t="s">
        <v>874</v>
      </c>
      <c r="F22" s="427" t="s">
        <v>875</v>
      </c>
      <c r="G22" s="427" t="s">
        <v>876</v>
      </c>
    </row>
    <row r="23" spans="1:16">
      <c r="A23" s="427" t="s">
        <v>892</v>
      </c>
      <c r="B23" s="427">
        <v>-2.0707809522607899E-2</v>
      </c>
      <c r="C23" s="427">
        <v>-2.2436753209113599E-4</v>
      </c>
      <c r="D23" s="427">
        <v>5.6115095111838702E-2</v>
      </c>
      <c r="E23" s="427">
        <v>0.101623569813502</v>
      </c>
      <c r="F23" s="427">
        <v>3.49800863719259E-2</v>
      </c>
      <c r="G23" s="427">
        <v>3.6130218546672199E-2</v>
      </c>
    </row>
    <row r="24" spans="1:16">
      <c r="A24" s="427" t="s">
        <v>893</v>
      </c>
      <c r="B24" s="427">
        <v>-3.0164329168775E-3</v>
      </c>
      <c r="C24" s="427">
        <v>-1.01682127977948E-2</v>
      </c>
      <c r="D24" s="427">
        <v>3.0918020909680602E-3</v>
      </c>
      <c r="E24" s="427">
        <v>-4.1544107434419997E-3</v>
      </c>
      <c r="F24" s="427">
        <v>2.5810465737273799E-2</v>
      </c>
      <c r="G24" s="427">
        <v>2.6479928190559599E-2</v>
      </c>
    </row>
    <row r="25" spans="1:16">
      <c r="A25" s="427" t="s">
        <v>894</v>
      </c>
      <c r="B25" s="427">
        <v>-2.6470401944066999E-2</v>
      </c>
      <c r="C25" s="427">
        <v>-2.4308840492900701E-2</v>
      </c>
      <c r="D25" s="427">
        <v>-1.2592244207791601E-2</v>
      </c>
      <c r="E25" s="427">
        <v>-2.5715410340092899E-2</v>
      </c>
      <c r="F25" s="427">
        <v>1.9493365162920599E-2</v>
      </c>
      <c r="G25" s="427">
        <v>1.9897130147777602E-2</v>
      </c>
    </row>
    <row r="26" spans="1:16">
      <c r="A26" s="427" t="s">
        <v>895</v>
      </c>
      <c r="B26" s="427">
        <v>-3.2698274059638502E-2</v>
      </c>
      <c r="C26" s="427">
        <v>-2.8001007977570502E-2</v>
      </c>
      <c r="D26" s="427">
        <v>-1.8565037169767502E-2</v>
      </c>
      <c r="E26" s="427">
        <v>-2.3524733577223001E-2</v>
      </c>
      <c r="F26" s="427">
        <v>1.52495864043607E-2</v>
      </c>
      <c r="G26" s="427">
        <v>1.54968650735283E-2</v>
      </c>
    </row>
    <row r="27" spans="1:16">
      <c r="A27" s="427" t="s">
        <v>896</v>
      </c>
      <c r="B27" s="427">
        <v>-4.7018460300786602E-2</v>
      </c>
      <c r="C27" s="427">
        <v>-4.5678226613683398E-2</v>
      </c>
      <c r="D27" s="427">
        <v>-1.46580463256663E-2</v>
      </c>
      <c r="E27" s="427">
        <v>-1.76605691387988E-2</v>
      </c>
      <c r="F27" s="427">
        <v>1.53551986374879E-2</v>
      </c>
      <c r="G27" s="427">
        <v>1.5534384609991099E-2</v>
      </c>
    </row>
    <row r="28" spans="1:16">
      <c r="A28" s="427" t="s">
        <v>897</v>
      </c>
      <c r="B28" s="427">
        <v>-6.4375559113975495E-2</v>
      </c>
      <c r="C28" s="427">
        <v>-6.5499338326095294E-2</v>
      </c>
      <c r="D28" s="427">
        <v>-4.4947872078432302E-2</v>
      </c>
      <c r="E28" s="427">
        <v>-5.0853303441734603E-2</v>
      </c>
      <c r="F28" s="427">
        <v>1.54655297431878E-2</v>
      </c>
      <c r="G28" s="427">
        <v>1.55507740056422E-2</v>
      </c>
    </row>
  </sheetData>
  <phoneticPr fontId="2" type="noConversion"/>
  <pageMargins left="0.7" right="0.7" top="0.75" bottom="0.75" header="0.3" footer="0.3"/>
  <pageSetup paperSize="9" orientation="portrait" r:id="rId1"/>
  <legacy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L69"/>
  <sheetViews>
    <sheetView topLeftCell="A4" zoomScale="70" zoomScaleNormal="70" workbookViewId="0">
      <selection activeCell="A34" sqref="A34"/>
    </sheetView>
  </sheetViews>
  <sheetFormatPr defaultRowHeight="17"/>
  <sheetData>
    <row r="3" spans="1:31" ht="17.5" thickBot="1">
      <c r="A3" t="s">
        <v>176</v>
      </c>
      <c r="I3" t="s">
        <v>178</v>
      </c>
    </row>
    <row r="4" spans="1:31" ht="17.5" thickTop="1">
      <c r="A4" s="651" t="s">
        <v>177</v>
      </c>
      <c r="B4" s="571" t="s">
        <v>155</v>
      </c>
      <c r="C4" s="573"/>
      <c r="D4" s="573"/>
      <c r="E4" s="573"/>
      <c r="F4" s="573"/>
      <c r="G4" s="573"/>
      <c r="H4" s="573"/>
      <c r="I4" s="573"/>
      <c r="L4" s="651" t="s">
        <v>39</v>
      </c>
      <c r="M4" s="571" t="s">
        <v>179</v>
      </c>
      <c r="N4" s="573"/>
      <c r="O4" s="573"/>
      <c r="P4" s="573"/>
      <c r="Q4" s="573"/>
      <c r="R4" s="573"/>
      <c r="S4" s="573"/>
      <c r="T4" s="573"/>
      <c r="AB4" s="543" t="s">
        <v>39</v>
      </c>
      <c r="AC4" s="544"/>
      <c r="AD4" s="547" t="s">
        <v>163</v>
      </c>
      <c r="AE4" s="548"/>
    </row>
    <row r="5" spans="1:31" ht="17.5" thickBot="1">
      <c r="A5" s="652"/>
      <c r="B5" s="562" t="s">
        <v>165</v>
      </c>
      <c r="C5" s="563"/>
      <c r="D5" s="563"/>
      <c r="E5" s="563"/>
      <c r="F5" s="563"/>
      <c r="G5" s="564"/>
      <c r="H5" s="565" t="s">
        <v>166</v>
      </c>
      <c r="I5" s="566"/>
      <c r="L5" s="652"/>
      <c r="M5" s="562" t="s">
        <v>165</v>
      </c>
      <c r="N5" s="563"/>
      <c r="O5" s="563"/>
      <c r="P5" s="563"/>
      <c r="Q5" s="563"/>
      <c r="R5" s="564"/>
      <c r="S5" s="565" t="s">
        <v>166</v>
      </c>
      <c r="T5" s="566"/>
      <c r="AB5" s="545"/>
      <c r="AC5" s="546"/>
      <c r="AD5" s="36" t="s">
        <v>156</v>
      </c>
      <c r="AE5" s="37" t="s">
        <v>157</v>
      </c>
    </row>
    <row r="6" spans="1:31" ht="17.5" thickTop="1">
      <c r="A6" s="652"/>
      <c r="B6" s="562" t="s">
        <v>44</v>
      </c>
      <c r="C6" s="564"/>
      <c r="D6" s="562" t="s">
        <v>45</v>
      </c>
      <c r="E6" s="564"/>
      <c r="F6" s="562" t="s">
        <v>46</v>
      </c>
      <c r="G6" s="564"/>
      <c r="H6" s="567"/>
      <c r="I6" s="568"/>
      <c r="L6" s="652"/>
      <c r="M6" s="562" t="s">
        <v>44</v>
      </c>
      <c r="N6" s="564"/>
      <c r="O6" s="562" t="s">
        <v>45</v>
      </c>
      <c r="P6" s="564"/>
      <c r="Q6" s="562" t="s">
        <v>46</v>
      </c>
      <c r="R6" s="564"/>
      <c r="S6" s="567"/>
      <c r="T6" s="568"/>
      <c r="AB6" s="549" t="s">
        <v>164</v>
      </c>
      <c r="AC6" s="44" t="s">
        <v>165</v>
      </c>
      <c r="AD6" s="44">
        <v>1.59</v>
      </c>
      <c r="AE6" s="45">
        <v>1.7</v>
      </c>
    </row>
    <row r="7" spans="1:31" ht="17.5" thickBot="1">
      <c r="A7" s="653"/>
      <c r="B7" s="53" t="s">
        <v>40</v>
      </c>
      <c r="C7" s="53" t="s">
        <v>41</v>
      </c>
      <c r="D7" s="53" t="s">
        <v>40</v>
      </c>
      <c r="E7" s="54" t="s">
        <v>41</v>
      </c>
      <c r="F7" s="53" t="s">
        <v>40</v>
      </c>
      <c r="G7" s="53" t="s">
        <v>41</v>
      </c>
      <c r="H7" s="53" t="s">
        <v>40</v>
      </c>
      <c r="I7" s="54" t="s">
        <v>41</v>
      </c>
      <c r="L7" s="653"/>
      <c r="M7" s="53" t="s">
        <v>40</v>
      </c>
      <c r="N7" s="53" t="s">
        <v>41</v>
      </c>
      <c r="O7" s="53" t="s">
        <v>40</v>
      </c>
      <c r="P7" s="54" t="s">
        <v>41</v>
      </c>
      <c r="Q7" s="53" t="s">
        <v>40</v>
      </c>
      <c r="R7" s="53" t="s">
        <v>41</v>
      </c>
      <c r="S7" s="53" t="s">
        <v>40</v>
      </c>
      <c r="T7" s="54" t="s">
        <v>41</v>
      </c>
      <c r="AB7" s="536"/>
      <c r="AC7" s="46" t="s">
        <v>166</v>
      </c>
      <c r="AD7" s="46">
        <v>1.59</v>
      </c>
      <c r="AE7" s="47">
        <v>1.7</v>
      </c>
    </row>
    <row r="8" spans="1:31" ht="17.5" thickTop="1">
      <c r="A8" s="38" t="s">
        <v>161</v>
      </c>
      <c r="B8" s="6">
        <v>0</v>
      </c>
      <c r="C8" s="6">
        <v>110</v>
      </c>
      <c r="D8" s="6">
        <v>0</v>
      </c>
      <c r="E8" s="39">
        <v>31</v>
      </c>
      <c r="F8" s="6">
        <v>0</v>
      </c>
      <c r="G8" s="6">
        <v>11</v>
      </c>
      <c r="H8" s="6">
        <v>0</v>
      </c>
      <c r="I8" s="39">
        <v>0</v>
      </c>
      <c r="L8" s="38" t="s">
        <v>161</v>
      </c>
      <c r="M8" s="6">
        <v>0</v>
      </c>
      <c r="N8" s="6">
        <v>110</v>
      </c>
      <c r="O8" s="6">
        <v>0</v>
      </c>
      <c r="P8" s="39">
        <v>31</v>
      </c>
      <c r="Q8" s="6">
        <v>0</v>
      </c>
      <c r="R8" s="6">
        <v>11</v>
      </c>
      <c r="S8" s="6">
        <v>0</v>
      </c>
      <c r="T8" s="39">
        <v>0</v>
      </c>
      <c r="AB8" s="535" t="s">
        <v>13</v>
      </c>
      <c r="AC8" s="46" t="s">
        <v>9</v>
      </c>
      <c r="AD8" s="46">
        <v>1.38</v>
      </c>
      <c r="AE8" s="47">
        <v>1.48</v>
      </c>
    </row>
    <row r="9" spans="1:31" ht="32">
      <c r="A9" s="40" t="s">
        <v>55</v>
      </c>
      <c r="B9" s="9">
        <v>0</v>
      </c>
      <c r="C9" s="9">
        <v>359</v>
      </c>
      <c r="D9" s="9">
        <v>0</v>
      </c>
      <c r="E9" s="41">
        <v>158</v>
      </c>
      <c r="F9" s="9">
        <v>5</v>
      </c>
      <c r="G9" s="9">
        <v>37</v>
      </c>
      <c r="H9" s="9">
        <v>0</v>
      </c>
      <c r="I9" s="41">
        <v>0</v>
      </c>
      <c r="L9" s="40" t="s">
        <v>55</v>
      </c>
      <c r="M9" s="9">
        <v>0</v>
      </c>
      <c r="N9" s="9">
        <v>356</v>
      </c>
      <c r="O9" s="9">
        <v>0</v>
      </c>
      <c r="P9" s="41">
        <v>157</v>
      </c>
      <c r="Q9" s="9">
        <v>5</v>
      </c>
      <c r="R9" s="9">
        <v>37</v>
      </c>
      <c r="S9" s="9">
        <v>0</v>
      </c>
      <c r="T9" s="41">
        <v>0</v>
      </c>
      <c r="AB9" s="536"/>
      <c r="AC9" s="46" t="s">
        <v>10</v>
      </c>
      <c r="AD9" s="46">
        <v>1.6</v>
      </c>
      <c r="AE9" s="47">
        <v>1.56</v>
      </c>
    </row>
    <row r="10" spans="1:31" ht="32">
      <c r="A10" s="40" t="s">
        <v>56</v>
      </c>
      <c r="B10" s="9">
        <v>0</v>
      </c>
      <c r="C10" s="9">
        <v>457</v>
      </c>
      <c r="D10" s="9">
        <v>0</v>
      </c>
      <c r="E10" s="41">
        <v>196</v>
      </c>
      <c r="F10" s="9">
        <v>11</v>
      </c>
      <c r="G10" s="9">
        <v>58</v>
      </c>
      <c r="H10" s="9">
        <v>25</v>
      </c>
      <c r="I10" s="41">
        <v>10</v>
      </c>
      <c r="L10" s="40" t="s">
        <v>56</v>
      </c>
      <c r="M10" s="9">
        <v>0</v>
      </c>
      <c r="N10" s="9">
        <v>455</v>
      </c>
      <c r="O10" s="9">
        <v>0</v>
      </c>
      <c r="P10" s="41">
        <v>194</v>
      </c>
      <c r="Q10" s="9">
        <v>11</v>
      </c>
      <c r="R10" s="9">
        <v>58</v>
      </c>
      <c r="S10" s="9">
        <v>25</v>
      </c>
      <c r="T10" s="41">
        <v>10</v>
      </c>
      <c r="AB10" s="535" t="s">
        <v>167</v>
      </c>
      <c r="AC10" s="46" t="s">
        <v>9</v>
      </c>
      <c r="AD10" s="46">
        <v>1.25</v>
      </c>
      <c r="AE10" s="47">
        <v>1.25</v>
      </c>
    </row>
    <row r="11" spans="1:31" ht="32">
      <c r="A11" s="40" t="s">
        <v>57</v>
      </c>
      <c r="B11" s="9">
        <v>0</v>
      </c>
      <c r="C11" s="9">
        <v>117</v>
      </c>
      <c r="D11" s="9">
        <v>0</v>
      </c>
      <c r="E11" s="41">
        <v>31</v>
      </c>
      <c r="F11" s="9">
        <v>22</v>
      </c>
      <c r="G11" s="9">
        <v>64</v>
      </c>
      <c r="H11" s="9">
        <v>55</v>
      </c>
      <c r="I11" s="41">
        <v>27</v>
      </c>
      <c r="L11" s="40" t="s">
        <v>57</v>
      </c>
      <c r="M11" s="9">
        <v>0</v>
      </c>
      <c r="N11" s="9">
        <v>116</v>
      </c>
      <c r="O11" s="9">
        <v>0</v>
      </c>
      <c r="P11" s="41">
        <v>31</v>
      </c>
      <c r="Q11" s="9">
        <v>21</v>
      </c>
      <c r="R11" s="9">
        <v>63</v>
      </c>
      <c r="S11" s="9">
        <v>54</v>
      </c>
      <c r="T11" s="41">
        <v>27</v>
      </c>
      <c r="AB11" s="536"/>
      <c r="AC11" s="46" t="s">
        <v>10</v>
      </c>
      <c r="AD11" s="46">
        <v>1.47</v>
      </c>
      <c r="AE11" s="47">
        <v>1.73</v>
      </c>
    </row>
    <row r="12" spans="1:31" ht="32">
      <c r="A12" s="40" t="s">
        <v>58</v>
      </c>
      <c r="B12" s="9">
        <v>0</v>
      </c>
      <c r="C12" s="9">
        <v>32</v>
      </c>
      <c r="D12" s="9">
        <v>0</v>
      </c>
      <c r="E12" s="41">
        <v>7</v>
      </c>
      <c r="F12" s="9">
        <v>53</v>
      </c>
      <c r="G12" s="9">
        <v>84</v>
      </c>
      <c r="H12" s="9">
        <v>83</v>
      </c>
      <c r="I12" s="41">
        <v>55</v>
      </c>
      <c r="L12" s="40" t="s">
        <v>58</v>
      </c>
      <c r="M12" s="9">
        <v>0</v>
      </c>
      <c r="N12" s="9">
        <v>32</v>
      </c>
      <c r="O12" s="9">
        <v>0</v>
      </c>
      <c r="P12" s="41">
        <v>7</v>
      </c>
      <c r="Q12" s="9">
        <v>53</v>
      </c>
      <c r="R12" s="9">
        <v>84</v>
      </c>
      <c r="S12" s="9">
        <v>82</v>
      </c>
      <c r="T12" s="41">
        <v>54</v>
      </c>
      <c r="AB12" s="535" t="s">
        <v>168</v>
      </c>
      <c r="AC12" s="46" t="s">
        <v>9</v>
      </c>
      <c r="AD12" s="46">
        <v>1.35</v>
      </c>
      <c r="AE12" s="47">
        <v>1.4</v>
      </c>
    </row>
    <row r="13" spans="1:31" ht="32">
      <c r="A13" s="40" t="s">
        <v>59</v>
      </c>
      <c r="B13" s="9">
        <v>0</v>
      </c>
      <c r="C13" s="9">
        <v>6</v>
      </c>
      <c r="D13" s="9">
        <v>0</v>
      </c>
      <c r="E13" s="41">
        <v>0</v>
      </c>
      <c r="F13" s="9">
        <v>69</v>
      </c>
      <c r="G13" s="9">
        <v>84</v>
      </c>
      <c r="H13" s="9">
        <v>87</v>
      </c>
      <c r="I13" s="41">
        <v>78</v>
      </c>
      <c r="L13" s="40" t="s">
        <v>59</v>
      </c>
      <c r="M13" s="9">
        <v>0</v>
      </c>
      <c r="N13" s="9">
        <v>6</v>
      </c>
      <c r="O13" s="9">
        <v>0</v>
      </c>
      <c r="P13" s="41">
        <v>0</v>
      </c>
      <c r="Q13" s="9">
        <v>68</v>
      </c>
      <c r="R13" s="9">
        <v>84</v>
      </c>
      <c r="S13" s="9">
        <v>86</v>
      </c>
      <c r="T13" s="41">
        <v>77</v>
      </c>
      <c r="AB13" s="536"/>
      <c r="AC13" s="46" t="s">
        <v>10</v>
      </c>
      <c r="AD13" s="46">
        <v>1.6</v>
      </c>
      <c r="AE13" s="47">
        <v>1.73</v>
      </c>
    </row>
    <row r="14" spans="1:31" ht="32">
      <c r="A14" s="40" t="s">
        <v>60</v>
      </c>
      <c r="B14" s="9">
        <v>0</v>
      </c>
      <c r="C14" s="9">
        <v>0</v>
      </c>
      <c r="D14" s="9">
        <v>2</v>
      </c>
      <c r="E14" s="41">
        <v>0</v>
      </c>
      <c r="F14" s="9">
        <v>74</v>
      </c>
      <c r="G14" s="9">
        <v>89</v>
      </c>
      <c r="H14" s="9">
        <v>88</v>
      </c>
      <c r="I14" s="41">
        <v>83</v>
      </c>
      <c r="L14" s="40" t="s">
        <v>60</v>
      </c>
      <c r="M14" s="9">
        <v>0</v>
      </c>
      <c r="N14" s="9">
        <v>0</v>
      </c>
      <c r="O14" s="9">
        <v>2</v>
      </c>
      <c r="P14" s="41">
        <v>0</v>
      </c>
      <c r="Q14" s="9">
        <v>73</v>
      </c>
      <c r="R14" s="9">
        <v>89</v>
      </c>
      <c r="S14" s="9">
        <v>87</v>
      </c>
      <c r="T14" s="41">
        <v>82</v>
      </c>
      <c r="AB14" s="535" t="s">
        <v>47</v>
      </c>
      <c r="AC14" s="46" t="s">
        <v>9</v>
      </c>
      <c r="AD14" s="46">
        <v>1.33</v>
      </c>
      <c r="AE14" s="47">
        <v>1.55</v>
      </c>
    </row>
    <row r="15" spans="1:31" ht="32">
      <c r="A15" s="40" t="s">
        <v>61</v>
      </c>
      <c r="B15" s="9">
        <v>0</v>
      </c>
      <c r="C15" s="9">
        <v>0</v>
      </c>
      <c r="D15" s="9">
        <v>8</v>
      </c>
      <c r="E15" s="41">
        <v>0</v>
      </c>
      <c r="F15" s="9">
        <v>95</v>
      </c>
      <c r="G15" s="9">
        <v>100</v>
      </c>
      <c r="H15" s="9">
        <v>102</v>
      </c>
      <c r="I15" s="41">
        <v>94</v>
      </c>
      <c r="L15" s="40" t="s">
        <v>61</v>
      </c>
      <c r="M15" s="9">
        <v>0</v>
      </c>
      <c r="N15" s="9">
        <v>0</v>
      </c>
      <c r="O15" s="9">
        <v>8</v>
      </c>
      <c r="P15" s="41">
        <v>0</v>
      </c>
      <c r="Q15" s="9">
        <v>95</v>
      </c>
      <c r="R15" s="9">
        <v>99</v>
      </c>
      <c r="S15" s="9">
        <v>102</v>
      </c>
      <c r="T15" s="41">
        <v>94</v>
      </c>
      <c r="AB15" s="536"/>
      <c r="AC15" s="46" t="s">
        <v>10</v>
      </c>
      <c r="AD15" s="46">
        <v>1.43</v>
      </c>
      <c r="AE15" s="47">
        <v>1.54</v>
      </c>
    </row>
    <row r="16" spans="1:31" ht="32">
      <c r="A16" s="40" t="s">
        <v>62</v>
      </c>
      <c r="B16" s="9">
        <v>0</v>
      </c>
      <c r="C16" s="9">
        <v>0</v>
      </c>
      <c r="D16" s="9">
        <v>14</v>
      </c>
      <c r="E16" s="41">
        <v>0</v>
      </c>
      <c r="F16" s="9">
        <v>106</v>
      </c>
      <c r="G16" s="9">
        <v>95</v>
      </c>
      <c r="H16" s="9">
        <v>114</v>
      </c>
      <c r="I16" s="41">
        <v>103</v>
      </c>
      <c r="L16" s="40" t="s">
        <v>62</v>
      </c>
      <c r="M16" s="9">
        <v>0</v>
      </c>
      <c r="N16" s="9">
        <v>0</v>
      </c>
      <c r="O16" s="9">
        <v>14</v>
      </c>
      <c r="P16" s="41">
        <v>0</v>
      </c>
      <c r="Q16" s="9">
        <v>105</v>
      </c>
      <c r="R16" s="9">
        <v>95</v>
      </c>
      <c r="S16" s="9">
        <v>113</v>
      </c>
      <c r="T16" s="41">
        <v>103</v>
      </c>
      <c r="AB16" s="535" t="s">
        <v>169</v>
      </c>
      <c r="AC16" s="46" t="s">
        <v>9</v>
      </c>
      <c r="AD16" s="46">
        <v>1.33</v>
      </c>
      <c r="AE16" s="47">
        <v>1.55</v>
      </c>
    </row>
    <row r="17" spans="1:64" ht="32">
      <c r="A17" s="40" t="s">
        <v>63</v>
      </c>
      <c r="B17" s="9">
        <v>0</v>
      </c>
      <c r="C17" s="9">
        <v>0</v>
      </c>
      <c r="D17" s="9">
        <v>26</v>
      </c>
      <c r="E17" s="41">
        <v>0</v>
      </c>
      <c r="F17" s="9">
        <v>110</v>
      </c>
      <c r="G17" s="9">
        <v>84</v>
      </c>
      <c r="H17" s="9">
        <v>110</v>
      </c>
      <c r="I17" s="41">
        <v>107</v>
      </c>
      <c r="L17" s="40" t="s">
        <v>63</v>
      </c>
      <c r="M17" s="9">
        <v>0</v>
      </c>
      <c r="N17" s="9">
        <v>0</v>
      </c>
      <c r="O17" s="9">
        <v>26</v>
      </c>
      <c r="P17" s="41">
        <v>0</v>
      </c>
      <c r="Q17" s="9">
        <v>110</v>
      </c>
      <c r="R17" s="9">
        <v>84</v>
      </c>
      <c r="S17" s="9">
        <v>109</v>
      </c>
      <c r="T17" s="41">
        <v>106</v>
      </c>
      <c r="AB17" s="536"/>
      <c r="AC17" s="46" t="s">
        <v>10</v>
      </c>
      <c r="AD17" s="46">
        <v>1.43</v>
      </c>
      <c r="AE17" s="47">
        <v>1.54</v>
      </c>
    </row>
    <row r="18" spans="1:64" ht="32">
      <c r="A18" s="40" t="s">
        <v>64</v>
      </c>
      <c r="B18" s="9">
        <v>10</v>
      </c>
      <c r="C18" s="9">
        <v>0</v>
      </c>
      <c r="D18" s="9">
        <v>47</v>
      </c>
      <c r="E18" s="41">
        <v>0</v>
      </c>
      <c r="F18" s="9">
        <v>120</v>
      </c>
      <c r="G18" s="9">
        <v>85</v>
      </c>
      <c r="H18" s="9">
        <v>107</v>
      </c>
      <c r="I18" s="41">
        <v>117</v>
      </c>
      <c r="L18" s="40" t="s">
        <v>64</v>
      </c>
      <c r="M18" s="9">
        <v>10</v>
      </c>
      <c r="N18" s="9">
        <v>0</v>
      </c>
      <c r="O18" s="9">
        <v>46</v>
      </c>
      <c r="P18" s="41">
        <v>0</v>
      </c>
      <c r="Q18" s="9">
        <v>120</v>
      </c>
      <c r="R18" s="9">
        <v>83</v>
      </c>
      <c r="S18" s="9">
        <v>108</v>
      </c>
      <c r="T18" s="41">
        <v>117</v>
      </c>
      <c r="AB18" s="535" t="s">
        <v>170</v>
      </c>
      <c r="AC18" s="46" t="s">
        <v>9</v>
      </c>
      <c r="AD18" s="46">
        <v>1.33</v>
      </c>
      <c r="AE18" s="47">
        <v>1.55</v>
      </c>
    </row>
    <row r="19" spans="1:64" ht="32">
      <c r="A19" s="40" t="s">
        <v>65</v>
      </c>
      <c r="B19" s="9">
        <v>62</v>
      </c>
      <c r="C19" s="9">
        <v>0</v>
      </c>
      <c r="D19" s="9">
        <v>83</v>
      </c>
      <c r="E19" s="41">
        <v>0</v>
      </c>
      <c r="F19" s="9">
        <v>95</v>
      </c>
      <c r="G19" s="9">
        <v>80</v>
      </c>
      <c r="H19" s="9">
        <v>87</v>
      </c>
      <c r="I19" s="41">
        <v>113</v>
      </c>
      <c r="L19" s="40" t="s">
        <v>65</v>
      </c>
      <c r="M19" s="9">
        <v>61</v>
      </c>
      <c r="N19" s="9">
        <v>0</v>
      </c>
      <c r="O19" s="9">
        <v>81</v>
      </c>
      <c r="P19" s="41">
        <v>0</v>
      </c>
      <c r="Q19" s="9">
        <v>95</v>
      </c>
      <c r="R19" s="9">
        <v>78</v>
      </c>
      <c r="S19" s="9">
        <v>86</v>
      </c>
      <c r="T19" s="41">
        <v>113</v>
      </c>
      <c r="AB19" s="536"/>
      <c r="AC19" s="46" t="s">
        <v>10</v>
      </c>
      <c r="AD19" s="46">
        <v>1.43</v>
      </c>
      <c r="AE19" s="47">
        <v>1.54</v>
      </c>
    </row>
    <row r="20" spans="1:64" ht="32">
      <c r="A20" s="40" t="s">
        <v>66</v>
      </c>
      <c r="B20" s="9">
        <v>253</v>
      </c>
      <c r="C20" s="9">
        <v>0</v>
      </c>
      <c r="D20" s="9">
        <v>91</v>
      </c>
      <c r="E20" s="41">
        <v>0</v>
      </c>
      <c r="F20" s="9">
        <v>100</v>
      </c>
      <c r="G20" s="9">
        <v>58</v>
      </c>
      <c r="H20" s="9">
        <v>75</v>
      </c>
      <c r="I20" s="41">
        <v>82</v>
      </c>
      <c r="L20" s="40" t="s">
        <v>66</v>
      </c>
      <c r="M20" s="9">
        <v>253</v>
      </c>
      <c r="N20" s="9">
        <v>0</v>
      </c>
      <c r="O20" s="9">
        <v>91</v>
      </c>
      <c r="P20" s="41">
        <v>0</v>
      </c>
      <c r="Q20" s="9">
        <v>99</v>
      </c>
      <c r="R20" s="9">
        <v>58</v>
      </c>
      <c r="S20" s="9">
        <v>75</v>
      </c>
      <c r="T20" s="41">
        <v>81</v>
      </c>
      <c r="AB20" s="535" t="s">
        <v>171</v>
      </c>
      <c r="AC20" s="46" t="s">
        <v>9</v>
      </c>
      <c r="AD20" s="46">
        <v>1.27</v>
      </c>
      <c r="AE20" s="47">
        <v>1.35</v>
      </c>
    </row>
    <row r="21" spans="1:64" ht="32.5" thickBot="1">
      <c r="A21" s="40" t="s">
        <v>67</v>
      </c>
      <c r="B21" s="9">
        <v>335</v>
      </c>
      <c r="C21" s="9">
        <v>0</v>
      </c>
      <c r="D21" s="9">
        <v>65</v>
      </c>
      <c r="E21" s="41">
        <v>0</v>
      </c>
      <c r="F21" s="9">
        <v>74</v>
      </c>
      <c r="G21" s="9">
        <v>31</v>
      </c>
      <c r="H21" s="9">
        <v>69</v>
      </c>
      <c r="I21" s="41">
        <v>79</v>
      </c>
      <c r="L21" s="40" t="s">
        <v>67</v>
      </c>
      <c r="M21" s="9">
        <v>333</v>
      </c>
      <c r="N21" s="9">
        <v>0</v>
      </c>
      <c r="O21" s="9">
        <v>65</v>
      </c>
      <c r="P21" s="41">
        <v>0</v>
      </c>
      <c r="Q21" s="9">
        <v>73</v>
      </c>
      <c r="R21" s="9">
        <v>31</v>
      </c>
      <c r="S21" s="9">
        <v>69</v>
      </c>
      <c r="T21" s="41">
        <v>78</v>
      </c>
      <c r="AB21" s="537"/>
      <c r="AC21" s="48" t="s">
        <v>10</v>
      </c>
      <c r="AD21" s="48">
        <v>1.27</v>
      </c>
      <c r="AE21" s="49">
        <v>1.35</v>
      </c>
    </row>
    <row r="22" spans="1:64" ht="32.5" thickTop="1">
      <c r="A22" s="40" t="s">
        <v>68</v>
      </c>
      <c r="B22" s="9">
        <v>277</v>
      </c>
      <c r="C22" s="9">
        <v>0</v>
      </c>
      <c r="D22" s="9">
        <v>48</v>
      </c>
      <c r="E22" s="41">
        <v>0</v>
      </c>
      <c r="F22" s="9">
        <v>31</v>
      </c>
      <c r="G22" s="9">
        <v>16</v>
      </c>
      <c r="H22" s="9">
        <v>30</v>
      </c>
      <c r="I22" s="41">
        <v>61</v>
      </c>
      <c r="L22" s="40" t="s">
        <v>68</v>
      </c>
      <c r="M22" s="9">
        <v>275</v>
      </c>
      <c r="N22" s="9">
        <v>0</v>
      </c>
      <c r="O22" s="9">
        <v>48</v>
      </c>
      <c r="P22" s="41">
        <v>0</v>
      </c>
      <c r="Q22" s="9">
        <v>31</v>
      </c>
      <c r="R22" s="9">
        <v>16</v>
      </c>
      <c r="S22" s="9">
        <v>30</v>
      </c>
      <c r="T22" s="41">
        <v>61</v>
      </c>
    </row>
    <row r="23" spans="1:64">
      <c r="A23" s="40" t="s">
        <v>162</v>
      </c>
      <c r="B23" s="9">
        <v>144</v>
      </c>
      <c r="C23" s="9">
        <v>0</v>
      </c>
      <c r="D23" s="9">
        <v>39</v>
      </c>
      <c r="E23" s="41">
        <v>0</v>
      </c>
      <c r="F23" s="9">
        <v>16</v>
      </c>
      <c r="G23" s="9">
        <v>5</v>
      </c>
      <c r="H23" s="9">
        <v>2</v>
      </c>
      <c r="I23" s="41">
        <v>25</v>
      </c>
      <c r="L23" s="40" t="s">
        <v>162</v>
      </c>
      <c r="M23" s="9">
        <v>143</v>
      </c>
      <c r="N23" s="9">
        <v>0</v>
      </c>
      <c r="O23" s="9">
        <v>39</v>
      </c>
      <c r="P23" s="41">
        <v>0</v>
      </c>
      <c r="Q23" s="9">
        <v>16</v>
      </c>
      <c r="R23" s="9">
        <v>5</v>
      </c>
      <c r="S23" s="9">
        <v>2</v>
      </c>
      <c r="T23" s="41">
        <v>25</v>
      </c>
    </row>
    <row r="24" spans="1:64" ht="17.5" thickBot="1">
      <c r="A24" s="42" t="s">
        <v>160</v>
      </c>
      <c r="B24" s="17">
        <v>1081</v>
      </c>
      <c r="C24" s="17">
        <v>1081</v>
      </c>
      <c r="D24" s="16">
        <v>423</v>
      </c>
      <c r="E24" s="55">
        <v>423</v>
      </c>
      <c r="F24" s="16">
        <v>981</v>
      </c>
      <c r="G24" s="16">
        <v>981</v>
      </c>
      <c r="H24" s="17">
        <v>1034</v>
      </c>
      <c r="I24" s="43">
        <v>1034</v>
      </c>
      <c r="L24" s="42" t="s">
        <v>160</v>
      </c>
      <c r="M24" s="17">
        <v>1075</v>
      </c>
      <c r="N24" s="17">
        <v>1075</v>
      </c>
      <c r="O24" s="16">
        <v>420</v>
      </c>
      <c r="P24" s="55">
        <v>420</v>
      </c>
      <c r="Q24" s="16">
        <v>975</v>
      </c>
      <c r="R24" s="16">
        <v>975</v>
      </c>
      <c r="S24" s="17">
        <v>1028</v>
      </c>
      <c r="T24" s="43">
        <v>1028</v>
      </c>
    </row>
    <row r="25" spans="1:64" ht="18" thickTop="1" thickBot="1"/>
    <row r="26" spans="1:64" ht="17.5" thickTop="1">
      <c r="A26" s="544" t="s">
        <v>39</v>
      </c>
      <c r="B26" s="547" t="s">
        <v>155</v>
      </c>
      <c r="C26" s="548"/>
      <c r="D26" s="548"/>
      <c r="E26" s="548"/>
      <c r="F26" s="548"/>
      <c r="G26" s="548"/>
      <c r="H26" s="548"/>
      <c r="I26" s="548"/>
      <c r="J26" s="548"/>
      <c r="K26" s="548"/>
      <c r="L26" s="548"/>
      <c r="N26" s="544" t="s">
        <v>39</v>
      </c>
      <c r="O26" s="547" t="s">
        <v>179</v>
      </c>
      <c r="P26" s="548"/>
      <c r="Q26" s="548"/>
      <c r="R26" s="548"/>
      <c r="S26" s="548"/>
      <c r="T26" s="548"/>
      <c r="U26" s="548"/>
      <c r="V26" s="548"/>
      <c r="W26" s="548"/>
      <c r="X26" s="548"/>
      <c r="Y26" s="548"/>
      <c r="AA26" s="544" t="s">
        <v>39</v>
      </c>
      <c r="AB26" s="547" t="s">
        <v>183</v>
      </c>
      <c r="AC26" s="548"/>
      <c r="AD26" s="548"/>
      <c r="AE26" s="548"/>
      <c r="AF26" s="548"/>
      <c r="AG26" s="548"/>
      <c r="AH26" s="548"/>
      <c r="AI26" s="548"/>
      <c r="AJ26" s="548"/>
      <c r="AK26" s="548"/>
      <c r="AL26" s="548"/>
      <c r="AN26" s="544" t="s">
        <v>39</v>
      </c>
      <c r="AO26" s="547" t="s">
        <v>184</v>
      </c>
      <c r="AP26" s="548"/>
      <c r="AQ26" s="548"/>
      <c r="AR26" s="548"/>
      <c r="AS26" s="548"/>
      <c r="AT26" s="548"/>
      <c r="AU26" s="548"/>
      <c r="AV26" s="548"/>
      <c r="AW26" s="548"/>
      <c r="AX26" s="548"/>
      <c r="AY26" s="548"/>
      <c r="BA26" s="544" t="s">
        <v>39</v>
      </c>
      <c r="BB26" s="547" t="s">
        <v>12</v>
      </c>
      <c r="BC26" s="548"/>
      <c r="BD26" s="548"/>
      <c r="BE26" s="548"/>
      <c r="BF26" s="548"/>
      <c r="BG26" s="548"/>
      <c r="BH26" s="548"/>
      <c r="BI26" s="548"/>
      <c r="BJ26" s="548"/>
      <c r="BK26" s="548"/>
      <c r="BL26" s="548"/>
    </row>
    <row r="27" spans="1:64">
      <c r="A27" s="641"/>
      <c r="B27" s="550" t="s">
        <v>156</v>
      </c>
      <c r="C27" s="551"/>
      <c r="D27" s="550" t="s">
        <v>157</v>
      </c>
      <c r="E27" s="551"/>
      <c r="F27" s="550" t="s">
        <v>158</v>
      </c>
      <c r="G27" s="551"/>
      <c r="H27" s="550" t="s">
        <v>159</v>
      </c>
      <c r="I27" s="551"/>
      <c r="J27" s="550" t="s">
        <v>160</v>
      </c>
      <c r="K27" s="552"/>
      <c r="L27" s="552"/>
      <c r="N27" s="641"/>
      <c r="O27" s="550" t="s">
        <v>156</v>
      </c>
      <c r="P27" s="551"/>
      <c r="Q27" s="550" t="s">
        <v>157</v>
      </c>
      <c r="R27" s="551"/>
      <c r="S27" s="550" t="s">
        <v>158</v>
      </c>
      <c r="T27" s="551"/>
      <c r="U27" s="550" t="s">
        <v>159</v>
      </c>
      <c r="V27" s="551"/>
      <c r="W27" s="550" t="s">
        <v>160</v>
      </c>
      <c r="X27" s="552"/>
      <c r="Y27" s="552"/>
      <c r="AA27" s="641"/>
      <c r="AB27" s="550" t="s">
        <v>156</v>
      </c>
      <c r="AC27" s="551"/>
      <c r="AD27" s="550" t="s">
        <v>157</v>
      </c>
      <c r="AE27" s="551"/>
      <c r="AF27" s="550" t="s">
        <v>158</v>
      </c>
      <c r="AG27" s="551"/>
      <c r="AH27" s="550" t="s">
        <v>159</v>
      </c>
      <c r="AI27" s="551"/>
      <c r="AJ27" s="550" t="s">
        <v>160</v>
      </c>
      <c r="AK27" s="552"/>
      <c r="AL27" s="552"/>
      <c r="AN27" s="641"/>
      <c r="AO27" s="550" t="s">
        <v>156</v>
      </c>
      <c r="AP27" s="551"/>
      <c r="AQ27" s="550" t="s">
        <v>157</v>
      </c>
      <c r="AR27" s="551"/>
      <c r="AS27" s="550" t="s">
        <v>158</v>
      </c>
      <c r="AT27" s="551"/>
      <c r="AU27" s="550" t="s">
        <v>159</v>
      </c>
      <c r="AV27" s="551"/>
      <c r="AW27" s="550" t="s">
        <v>160</v>
      </c>
      <c r="AX27" s="552"/>
      <c r="AY27" s="552"/>
      <c r="BA27" s="641"/>
      <c r="BB27" s="550" t="s">
        <v>156</v>
      </c>
      <c r="BC27" s="551"/>
      <c r="BD27" s="550" t="s">
        <v>157</v>
      </c>
      <c r="BE27" s="551"/>
      <c r="BF27" s="550" t="s">
        <v>158</v>
      </c>
      <c r="BG27" s="551"/>
      <c r="BH27" s="550" t="s">
        <v>159</v>
      </c>
      <c r="BI27" s="551"/>
      <c r="BJ27" s="550" t="s">
        <v>160</v>
      </c>
      <c r="BK27" s="552"/>
      <c r="BL27" s="552"/>
    </row>
    <row r="28" spans="1:64" ht="17.5" thickBot="1">
      <c r="A28" s="546"/>
      <c r="B28" s="36" t="s">
        <v>40</v>
      </c>
      <c r="C28" s="36" t="s">
        <v>41</v>
      </c>
      <c r="D28" s="36" t="s">
        <v>40</v>
      </c>
      <c r="E28" s="36" t="s">
        <v>41</v>
      </c>
      <c r="F28" s="36" t="s">
        <v>40</v>
      </c>
      <c r="G28" s="36" t="s">
        <v>41</v>
      </c>
      <c r="H28" s="36" t="s">
        <v>40</v>
      </c>
      <c r="I28" s="36" t="s">
        <v>41</v>
      </c>
      <c r="J28" s="36" t="s">
        <v>40</v>
      </c>
      <c r="K28" s="36" t="s">
        <v>41</v>
      </c>
      <c r="L28" s="37" t="s">
        <v>21</v>
      </c>
      <c r="N28" s="546"/>
      <c r="O28" s="36" t="s">
        <v>40</v>
      </c>
      <c r="P28" s="36" t="s">
        <v>41</v>
      </c>
      <c r="Q28" s="36" t="s">
        <v>40</v>
      </c>
      <c r="R28" s="36" t="s">
        <v>41</v>
      </c>
      <c r="S28" s="36" t="s">
        <v>40</v>
      </c>
      <c r="T28" s="36" t="s">
        <v>41</v>
      </c>
      <c r="U28" s="36" t="s">
        <v>40</v>
      </c>
      <c r="V28" s="36" t="s">
        <v>41</v>
      </c>
      <c r="W28" s="36" t="s">
        <v>40</v>
      </c>
      <c r="X28" s="36" t="s">
        <v>41</v>
      </c>
      <c r="Y28" s="37" t="s">
        <v>21</v>
      </c>
      <c r="AA28" s="546"/>
      <c r="AB28" s="36" t="s">
        <v>40</v>
      </c>
      <c r="AC28" s="36" t="s">
        <v>41</v>
      </c>
      <c r="AD28" s="36" t="s">
        <v>40</v>
      </c>
      <c r="AE28" s="36" t="s">
        <v>41</v>
      </c>
      <c r="AF28" s="36" t="s">
        <v>40</v>
      </c>
      <c r="AG28" s="36" t="s">
        <v>41</v>
      </c>
      <c r="AH28" s="36" t="s">
        <v>40</v>
      </c>
      <c r="AI28" s="36" t="s">
        <v>41</v>
      </c>
      <c r="AJ28" s="36" t="s">
        <v>40</v>
      </c>
      <c r="AK28" s="36" t="s">
        <v>41</v>
      </c>
      <c r="AL28" s="37" t="s">
        <v>21</v>
      </c>
      <c r="AN28" s="546"/>
      <c r="AO28" s="36" t="s">
        <v>40</v>
      </c>
      <c r="AP28" s="36" t="s">
        <v>41</v>
      </c>
      <c r="AQ28" s="36" t="s">
        <v>40</v>
      </c>
      <c r="AR28" s="36" t="s">
        <v>41</v>
      </c>
      <c r="AS28" s="36" t="s">
        <v>40</v>
      </c>
      <c r="AT28" s="36" t="s">
        <v>41</v>
      </c>
      <c r="AU28" s="36" t="s">
        <v>40</v>
      </c>
      <c r="AV28" s="36" t="s">
        <v>41</v>
      </c>
      <c r="AW28" s="36" t="s">
        <v>40</v>
      </c>
      <c r="AX28" s="36" t="s">
        <v>41</v>
      </c>
      <c r="AY28" s="37" t="s">
        <v>21</v>
      </c>
      <c r="BA28" s="546"/>
      <c r="BB28" s="36" t="s">
        <v>40</v>
      </c>
      <c r="BC28" s="36" t="s">
        <v>41</v>
      </c>
      <c r="BD28" s="36" t="s">
        <v>40</v>
      </c>
      <c r="BE28" s="36" t="s">
        <v>41</v>
      </c>
      <c r="BF28" s="36" t="s">
        <v>40</v>
      </c>
      <c r="BG28" s="36" t="s">
        <v>41</v>
      </c>
      <c r="BH28" s="36" t="s">
        <v>40</v>
      </c>
      <c r="BI28" s="36" t="s">
        <v>41</v>
      </c>
      <c r="BJ28" s="36" t="s">
        <v>40</v>
      </c>
      <c r="BK28" s="36" t="s">
        <v>41</v>
      </c>
      <c r="BL28" s="37" t="s">
        <v>21</v>
      </c>
    </row>
    <row r="29" spans="1:64" ht="17.5" thickTop="1">
      <c r="A29" s="38" t="s">
        <v>161</v>
      </c>
      <c r="B29" s="6">
        <v>0</v>
      </c>
      <c r="C29" s="6">
        <v>49</v>
      </c>
      <c r="D29" s="6">
        <v>0</v>
      </c>
      <c r="E29" s="6">
        <v>8</v>
      </c>
      <c r="F29" s="6">
        <v>0</v>
      </c>
      <c r="G29" s="6">
        <v>61</v>
      </c>
      <c r="H29" s="6">
        <v>0</v>
      </c>
      <c r="I29" s="6">
        <v>34</v>
      </c>
      <c r="J29" s="6">
        <v>0</v>
      </c>
      <c r="K29" s="6">
        <v>152</v>
      </c>
      <c r="L29" s="39">
        <v>152</v>
      </c>
      <c r="N29" s="38" t="s">
        <v>161</v>
      </c>
      <c r="O29" s="6">
        <v>0</v>
      </c>
      <c r="P29" s="6">
        <v>50</v>
      </c>
      <c r="Q29" s="6">
        <v>0</v>
      </c>
      <c r="R29" s="6">
        <v>8</v>
      </c>
      <c r="S29" s="6">
        <v>0</v>
      </c>
      <c r="T29" s="6">
        <v>61</v>
      </c>
      <c r="U29" s="6">
        <v>0</v>
      </c>
      <c r="V29" s="6">
        <v>33</v>
      </c>
      <c r="W29" s="6">
        <v>0</v>
      </c>
      <c r="X29" s="6">
        <v>152</v>
      </c>
      <c r="Y29" s="39">
        <v>152</v>
      </c>
      <c r="AA29" s="38" t="s">
        <v>161</v>
      </c>
      <c r="AB29" s="6">
        <v>0</v>
      </c>
      <c r="AC29" s="6">
        <v>41</v>
      </c>
      <c r="AD29" s="6">
        <v>0</v>
      </c>
      <c r="AE29" s="6">
        <v>7</v>
      </c>
      <c r="AF29" s="6">
        <v>0</v>
      </c>
      <c r="AG29" s="6">
        <v>49</v>
      </c>
      <c r="AH29" s="6">
        <v>0</v>
      </c>
      <c r="AI29" s="6">
        <v>27</v>
      </c>
      <c r="AJ29" s="6">
        <v>0</v>
      </c>
      <c r="AK29" s="6">
        <v>124</v>
      </c>
      <c r="AL29" s="39">
        <v>124</v>
      </c>
      <c r="AN29" s="38" t="s">
        <v>161</v>
      </c>
      <c r="AO29" s="6">
        <v>0</v>
      </c>
      <c r="AP29" s="44">
        <v>41</v>
      </c>
      <c r="AQ29" s="6">
        <v>0</v>
      </c>
      <c r="AR29" s="44">
        <v>7</v>
      </c>
      <c r="AS29" s="6">
        <v>0</v>
      </c>
      <c r="AT29" s="44">
        <v>51</v>
      </c>
      <c r="AU29" s="6">
        <v>0</v>
      </c>
      <c r="AV29" s="44">
        <v>28</v>
      </c>
      <c r="AW29" s="6">
        <v>0</v>
      </c>
      <c r="AX29" s="44">
        <v>127</v>
      </c>
      <c r="AY29" s="45">
        <v>127</v>
      </c>
      <c r="BA29" s="38" t="s">
        <v>161</v>
      </c>
      <c r="BB29" s="6">
        <v>0</v>
      </c>
      <c r="BC29" s="44">
        <v>6</v>
      </c>
      <c r="BD29" s="6">
        <v>0</v>
      </c>
      <c r="BE29" s="6">
        <v>0</v>
      </c>
      <c r="BF29" s="6">
        <v>0</v>
      </c>
      <c r="BG29" s="44">
        <v>8</v>
      </c>
      <c r="BH29" s="6">
        <v>0</v>
      </c>
      <c r="BI29" s="44">
        <v>4</v>
      </c>
      <c r="BJ29" s="6">
        <v>0</v>
      </c>
      <c r="BK29" s="44">
        <v>18</v>
      </c>
      <c r="BL29" s="45">
        <v>18</v>
      </c>
    </row>
    <row r="30" spans="1:64" ht="32">
      <c r="A30" s="40" t="s">
        <v>55</v>
      </c>
      <c r="B30" s="9">
        <v>1</v>
      </c>
      <c r="C30" s="9">
        <v>166</v>
      </c>
      <c r="D30" s="9">
        <v>0</v>
      </c>
      <c r="E30" s="9">
        <v>28</v>
      </c>
      <c r="F30" s="9">
        <v>3</v>
      </c>
      <c r="G30" s="9">
        <v>220</v>
      </c>
      <c r="H30" s="9">
        <v>1</v>
      </c>
      <c r="I30" s="9">
        <v>140</v>
      </c>
      <c r="J30" s="9">
        <v>5</v>
      </c>
      <c r="K30" s="9">
        <v>554</v>
      </c>
      <c r="L30" s="41">
        <v>559</v>
      </c>
      <c r="N30" s="40" t="s">
        <v>55</v>
      </c>
      <c r="O30" s="9">
        <v>1</v>
      </c>
      <c r="P30" s="9">
        <v>165</v>
      </c>
      <c r="Q30" s="9">
        <v>0</v>
      </c>
      <c r="R30" s="9">
        <v>28</v>
      </c>
      <c r="S30" s="9">
        <v>3</v>
      </c>
      <c r="T30" s="9">
        <v>219</v>
      </c>
      <c r="U30" s="9">
        <v>1</v>
      </c>
      <c r="V30" s="9">
        <v>138</v>
      </c>
      <c r="W30" s="9">
        <v>5</v>
      </c>
      <c r="X30" s="9">
        <v>550</v>
      </c>
      <c r="Y30" s="41">
        <v>555</v>
      </c>
      <c r="AA30" s="40" t="s">
        <v>55</v>
      </c>
      <c r="AB30" s="9">
        <v>1</v>
      </c>
      <c r="AC30" s="9">
        <v>135</v>
      </c>
      <c r="AD30" s="9">
        <v>0</v>
      </c>
      <c r="AE30" s="9">
        <v>23</v>
      </c>
      <c r="AF30" s="9">
        <v>2</v>
      </c>
      <c r="AG30" s="9">
        <v>179</v>
      </c>
      <c r="AH30" s="9">
        <v>1</v>
      </c>
      <c r="AI30" s="9">
        <v>114</v>
      </c>
      <c r="AJ30" s="9">
        <v>4</v>
      </c>
      <c r="AK30" s="9">
        <v>451</v>
      </c>
      <c r="AL30" s="41">
        <v>455</v>
      </c>
      <c r="AN30" s="40" t="s">
        <v>55</v>
      </c>
      <c r="AO30" s="46">
        <v>1</v>
      </c>
      <c r="AP30" s="46">
        <v>138</v>
      </c>
      <c r="AQ30" s="9">
        <v>0</v>
      </c>
      <c r="AR30" s="46">
        <v>23</v>
      </c>
      <c r="AS30" s="46">
        <v>2</v>
      </c>
      <c r="AT30" s="46">
        <v>182</v>
      </c>
      <c r="AU30" s="46">
        <v>1</v>
      </c>
      <c r="AV30" s="46">
        <v>116</v>
      </c>
      <c r="AW30" s="46">
        <v>4</v>
      </c>
      <c r="AX30" s="46">
        <v>459</v>
      </c>
      <c r="AY30" s="47">
        <v>463</v>
      </c>
      <c r="BA30" s="40" t="s">
        <v>55</v>
      </c>
      <c r="BB30" s="9">
        <v>0</v>
      </c>
      <c r="BC30" s="46">
        <v>18</v>
      </c>
      <c r="BD30" s="9">
        <v>0</v>
      </c>
      <c r="BE30" s="46">
        <v>2</v>
      </c>
      <c r="BF30" s="9">
        <v>0</v>
      </c>
      <c r="BG30" s="46">
        <v>24</v>
      </c>
      <c r="BH30" s="9">
        <v>0</v>
      </c>
      <c r="BI30" s="46">
        <v>14</v>
      </c>
      <c r="BJ30" s="9">
        <v>0</v>
      </c>
      <c r="BK30" s="46">
        <v>58</v>
      </c>
      <c r="BL30" s="47">
        <v>58</v>
      </c>
    </row>
    <row r="31" spans="1:64" ht="32">
      <c r="A31" s="40" t="s">
        <v>56</v>
      </c>
      <c r="B31" s="9">
        <v>9</v>
      </c>
      <c r="C31" s="9">
        <v>217</v>
      </c>
      <c r="D31" s="9">
        <v>3</v>
      </c>
      <c r="E31" s="9">
        <v>37</v>
      </c>
      <c r="F31" s="9">
        <v>15</v>
      </c>
      <c r="G31" s="9">
        <v>287</v>
      </c>
      <c r="H31" s="9">
        <v>9</v>
      </c>
      <c r="I31" s="9">
        <v>180</v>
      </c>
      <c r="J31" s="9">
        <v>36</v>
      </c>
      <c r="K31" s="9">
        <v>721</v>
      </c>
      <c r="L31" s="41">
        <v>757</v>
      </c>
      <c r="N31" s="40" t="s">
        <v>56</v>
      </c>
      <c r="O31" s="9">
        <v>9</v>
      </c>
      <c r="P31" s="9">
        <v>216</v>
      </c>
      <c r="Q31" s="9">
        <v>3</v>
      </c>
      <c r="R31" s="9">
        <v>37</v>
      </c>
      <c r="S31" s="9">
        <v>15</v>
      </c>
      <c r="T31" s="9">
        <v>285</v>
      </c>
      <c r="U31" s="9">
        <v>9</v>
      </c>
      <c r="V31" s="9">
        <v>179</v>
      </c>
      <c r="W31" s="9">
        <v>36</v>
      </c>
      <c r="X31" s="9">
        <v>717</v>
      </c>
      <c r="Y31" s="41">
        <v>753</v>
      </c>
      <c r="AA31" s="40" t="s">
        <v>56</v>
      </c>
      <c r="AB31" s="9">
        <v>8</v>
      </c>
      <c r="AC31" s="9">
        <v>177</v>
      </c>
      <c r="AD31" s="9">
        <v>2</v>
      </c>
      <c r="AE31" s="9">
        <v>29</v>
      </c>
      <c r="AF31" s="9">
        <v>12</v>
      </c>
      <c r="AG31" s="9">
        <v>234</v>
      </c>
      <c r="AH31" s="9">
        <v>7</v>
      </c>
      <c r="AI31" s="9">
        <v>147</v>
      </c>
      <c r="AJ31" s="9">
        <v>29</v>
      </c>
      <c r="AK31" s="9">
        <v>587</v>
      </c>
      <c r="AL31" s="41">
        <v>616</v>
      </c>
      <c r="AN31" s="40" t="s">
        <v>56</v>
      </c>
      <c r="AO31" s="46">
        <v>8</v>
      </c>
      <c r="AP31" s="46">
        <v>180</v>
      </c>
      <c r="AQ31" s="46">
        <v>2</v>
      </c>
      <c r="AR31" s="46">
        <v>31</v>
      </c>
      <c r="AS31" s="46">
        <v>12</v>
      </c>
      <c r="AT31" s="46">
        <v>238</v>
      </c>
      <c r="AU31" s="46">
        <v>8</v>
      </c>
      <c r="AV31" s="46">
        <v>150</v>
      </c>
      <c r="AW31" s="46">
        <v>30</v>
      </c>
      <c r="AX31" s="46">
        <v>599</v>
      </c>
      <c r="AY31" s="47">
        <v>629</v>
      </c>
      <c r="BA31" s="40" t="s">
        <v>56</v>
      </c>
      <c r="BB31" s="46">
        <v>2</v>
      </c>
      <c r="BC31" s="46">
        <v>22</v>
      </c>
      <c r="BD31" s="9">
        <v>0</v>
      </c>
      <c r="BE31" s="46">
        <v>4</v>
      </c>
      <c r="BF31" s="46">
        <v>2</v>
      </c>
      <c r="BG31" s="46">
        <v>30</v>
      </c>
      <c r="BH31" s="9">
        <v>0</v>
      </c>
      <c r="BI31" s="46">
        <v>18</v>
      </c>
      <c r="BJ31" s="46">
        <v>4</v>
      </c>
      <c r="BK31" s="46">
        <v>74</v>
      </c>
      <c r="BL31" s="47">
        <v>78</v>
      </c>
    </row>
    <row r="32" spans="1:64" ht="32">
      <c r="A32" s="40" t="s">
        <v>57</v>
      </c>
      <c r="B32" s="9">
        <v>20</v>
      </c>
      <c r="C32" s="9">
        <v>74</v>
      </c>
      <c r="D32" s="9">
        <v>6</v>
      </c>
      <c r="E32" s="9">
        <v>14</v>
      </c>
      <c r="F32" s="9">
        <v>32</v>
      </c>
      <c r="G32" s="9">
        <v>97</v>
      </c>
      <c r="H32" s="9">
        <v>19</v>
      </c>
      <c r="I32" s="9">
        <v>54</v>
      </c>
      <c r="J32" s="9">
        <v>77</v>
      </c>
      <c r="K32" s="9">
        <v>239</v>
      </c>
      <c r="L32" s="41">
        <v>316</v>
      </c>
      <c r="N32" s="40" t="s">
        <v>57</v>
      </c>
      <c r="O32" s="9">
        <v>19</v>
      </c>
      <c r="P32" s="9">
        <v>74</v>
      </c>
      <c r="Q32" s="9">
        <v>6</v>
      </c>
      <c r="R32" s="9">
        <v>14</v>
      </c>
      <c r="S32" s="9">
        <v>31</v>
      </c>
      <c r="T32" s="9">
        <v>95</v>
      </c>
      <c r="U32" s="9">
        <v>19</v>
      </c>
      <c r="V32" s="9">
        <v>54</v>
      </c>
      <c r="W32" s="9">
        <v>75</v>
      </c>
      <c r="X32" s="9">
        <v>237</v>
      </c>
      <c r="Y32" s="41">
        <v>312</v>
      </c>
      <c r="AA32" s="40" t="s">
        <v>57</v>
      </c>
      <c r="AB32" s="9">
        <v>16</v>
      </c>
      <c r="AC32" s="9">
        <v>60</v>
      </c>
      <c r="AD32" s="9">
        <v>5</v>
      </c>
      <c r="AE32" s="9">
        <v>12</v>
      </c>
      <c r="AF32" s="9">
        <v>26</v>
      </c>
      <c r="AG32" s="9">
        <v>78</v>
      </c>
      <c r="AH32" s="9">
        <v>16</v>
      </c>
      <c r="AI32" s="9">
        <v>44</v>
      </c>
      <c r="AJ32" s="9">
        <v>63</v>
      </c>
      <c r="AK32" s="9">
        <v>194</v>
      </c>
      <c r="AL32" s="41">
        <v>257</v>
      </c>
      <c r="AN32" s="40" t="s">
        <v>57</v>
      </c>
      <c r="AO32" s="46">
        <v>17</v>
      </c>
      <c r="AP32" s="46">
        <v>61</v>
      </c>
      <c r="AQ32" s="46">
        <v>5</v>
      </c>
      <c r="AR32" s="46">
        <v>12</v>
      </c>
      <c r="AS32" s="46">
        <v>26</v>
      </c>
      <c r="AT32" s="46">
        <v>80</v>
      </c>
      <c r="AU32" s="46">
        <v>16</v>
      </c>
      <c r="AV32" s="46">
        <v>45</v>
      </c>
      <c r="AW32" s="46">
        <v>64</v>
      </c>
      <c r="AX32" s="46">
        <v>198</v>
      </c>
      <c r="AY32" s="47">
        <v>262</v>
      </c>
      <c r="BA32" s="40" t="s">
        <v>57</v>
      </c>
      <c r="BB32" s="46">
        <v>2</v>
      </c>
      <c r="BC32" s="46">
        <v>8</v>
      </c>
      <c r="BD32" s="9">
        <v>0</v>
      </c>
      <c r="BE32" s="46">
        <v>2</v>
      </c>
      <c r="BF32" s="46">
        <v>4</v>
      </c>
      <c r="BG32" s="46">
        <v>10</v>
      </c>
      <c r="BH32" s="46">
        <v>2</v>
      </c>
      <c r="BI32" s="46">
        <v>4</v>
      </c>
      <c r="BJ32" s="46">
        <v>8</v>
      </c>
      <c r="BK32" s="46">
        <v>24</v>
      </c>
      <c r="BL32" s="47">
        <v>32</v>
      </c>
    </row>
    <row r="33" spans="1:64" ht="32">
      <c r="A33" s="40" t="s">
        <v>58</v>
      </c>
      <c r="B33" s="9">
        <v>36</v>
      </c>
      <c r="C33" s="9">
        <v>51</v>
      </c>
      <c r="D33" s="9">
        <v>10</v>
      </c>
      <c r="E33" s="9">
        <v>12</v>
      </c>
      <c r="F33" s="9">
        <v>56</v>
      </c>
      <c r="G33" s="9">
        <v>72</v>
      </c>
      <c r="H33" s="9">
        <v>34</v>
      </c>
      <c r="I33" s="9">
        <v>43</v>
      </c>
      <c r="J33" s="9">
        <v>136</v>
      </c>
      <c r="K33" s="9">
        <v>178</v>
      </c>
      <c r="L33" s="41">
        <v>314</v>
      </c>
      <c r="N33" s="40" t="s">
        <v>58</v>
      </c>
      <c r="O33" s="9">
        <v>35</v>
      </c>
      <c r="P33" s="9">
        <v>50</v>
      </c>
      <c r="Q33" s="9">
        <v>10</v>
      </c>
      <c r="R33" s="9">
        <v>12</v>
      </c>
      <c r="S33" s="9">
        <v>56</v>
      </c>
      <c r="T33" s="9">
        <v>73</v>
      </c>
      <c r="U33" s="9">
        <v>34</v>
      </c>
      <c r="V33" s="9">
        <v>42</v>
      </c>
      <c r="W33" s="9">
        <v>135</v>
      </c>
      <c r="X33" s="9">
        <v>177</v>
      </c>
      <c r="Y33" s="41">
        <v>312</v>
      </c>
      <c r="AA33" s="40" t="s">
        <v>58</v>
      </c>
      <c r="AB33" s="9">
        <v>28</v>
      </c>
      <c r="AC33" s="9">
        <v>41</v>
      </c>
      <c r="AD33" s="9">
        <v>8</v>
      </c>
      <c r="AE33" s="9">
        <v>10</v>
      </c>
      <c r="AF33" s="9">
        <v>46</v>
      </c>
      <c r="AG33" s="9">
        <v>60</v>
      </c>
      <c r="AH33" s="9">
        <v>28</v>
      </c>
      <c r="AI33" s="9">
        <v>35</v>
      </c>
      <c r="AJ33" s="9">
        <v>110</v>
      </c>
      <c r="AK33" s="9">
        <v>146</v>
      </c>
      <c r="AL33" s="41">
        <v>256</v>
      </c>
      <c r="AN33" s="40" t="s">
        <v>58</v>
      </c>
      <c r="AO33" s="46">
        <v>30</v>
      </c>
      <c r="AP33" s="46">
        <v>42</v>
      </c>
      <c r="AQ33" s="46">
        <v>8</v>
      </c>
      <c r="AR33" s="46">
        <v>10</v>
      </c>
      <c r="AS33" s="46">
        <v>47</v>
      </c>
      <c r="AT33" s="46">
        <v>61</v>
      </c>
      <c r="AU33" s="46">
        <v>28</v>
      </c>
      <c r="AV33" s="46">
        <v>36</v>
      </c>
      <c r="AW33" s="46">
        <v>113</v>
      </c>
      <c r="AX33" s="46">
        <v>149</v>
      </c>
      <c r="AY33" s="47">
        <v>262</v>
      </c>
      <c r="BA33" s="40" t="s">
        <v>58</v>
      </c>
      <c r="BB33" s="46">
        <v>4</v>
      </c>
      <c r="BC33" s="46">
        <v>6</v>
      </c>
      <c r="BD33" s="9">
        <v>0</v>
      </c>
      <c r="BE33" s="46">
        <v>2</v>
      </c>
      <c r="BF33" s="46">
        <v>4</v>
      </c>
      <c r="BG33" s="46">
        <v>8</v>
      </c>
      <c r="BH33" s="46">
        <v>6</v>
      </c>
      <c r="BI33" s="46">
        <v>2</v>
      </c>
      <c r="BJ33" s="46">
        <v>14</v>
      </c>
      <c r="BK33" s="46">
        <v>18</v>
      </c>
      <c r="BL33" s="47">
        <v>32</v>
      </c>
    </row>
    <row r="34" spans="1:64" ht="32">
      <c r="A34" s="40" t="s">
        <v>59</v>
      </c>
      <c r="B34" s="9">
        <v>41</v>
      </c>
      <c r="C34" s="9">
        <v>45</v>
      </c>
      <c r="D34" s="9">
        <v>12</v>
      </c>
      <c r="E34" s="9">
        <v>13</v>
      </c>
      <c r="F34" s="9">
        <v>64</v>
      </c>
      <c r="G34" s="9">
        <v>69</v>
      </c>
      <c r="H34" s="9">
        <v>39</v>
      </c>
      <c r="I34" s="9">
        <v>41</v>
      </c>
      <c r="J34" s="9">
        <v>156</v>
      </c>
      <c r="K34" s="9">
        <v>168</v>
      </c>
      <c r="L34" s="41">
        <v>324</v>
      </c>
      <c r="N34" s="40" t="s">
        <v>59</v>
      </c>
      <c r="O34" s="9">
        <v>40</v>
      </c>
      <c r="P34" s="9">
        <v>45</v>
      </c>
      <c r="Q34" s="9">
        <v>11</v>
      </c>
      <c r="R34" s="9">
        <v>12</v>
      </c>
      <c r="S34" s="9">
        <v>64</v>
      </c>
      <c r="T34" s="9">
        <v>69</v>
      </c>
      <c r="U34" s="9">
        <v>39</v>
      </c>
      <c r="V34" s="9">
        <v>41</v>
      </c>
      <c r="W34" s="9">
        <v>154</v>
      </c>
      <c r="X34" s="9">
        <v>167</v>
      </c>
      <c r="Y34" s="41">
        <v>321</v>
      </c>
      <c r="AA34" s="40" t="s">
        <v>59</v>
      </c>
      <c r="AB34" s="9">
        <v>33</v>
      </c>
      <c r="AC34" s="9">
        <v>37</v>
      </c>
      <c r="AD34" s="9">
        <v>9</v>
      </c>
      <c r="AE34" s="9">
        <v>10</v>
      </c>
      <c r="AF34" s="9">
        <v>53</v>
      </c>
      <c r="AG34" s="9">
        <v>56</v>
      </c>
      <c r="AH34" s="9">
        <v>32</v>
      </c>
      <c r="AI34" s="9">
        <v>34</v>
      </c>
      <c r="AJ34" s="9">
        <v>127</v>
      </c>
      <c r="AK34" s="9">
        <v>137</v>
      </c>
      <c r="AL34" s="41">
        <v>264</v>
      </c>
      <c r="AN34" s="40" t="s">
        <v>59</v>
      </c>
      <c r="AO34" s="46">
        <v>34</v>
      </c>
      <c r="AP34" s="46">
        <v>38</v>
      </c>
      <c r="AQ34" s="46">
        <v>10</v>
      </c>
      <c r="AR34" s="46">
        <v>10</v>
      </c>
      <c r="AS34" s="46">
        <v>53</v>
      </c>
      <c r="AT34" s="46">
        <v>57</v>
      </c>
      <c r="AU34" s="46">
        <v>32</v>
      </c>
      <c r="AV34" s="46">
        <v>34</v>
      </c>
      <c r="AW34" s="46">
        <v>129</v>
      </c>
      <c r="AX34" s="46">
        <v>139</v>
      </c>
      <c r="AY34" s="47">
        <v>268</v>
      </c>
      <c r="BA34" s="40" t="s">
        <v>59</v>
      </c>
      <c r="BB34" s="46">
        <v>4</v>
      </c>
      <c r="BC34" s="46">
        <v>4</v>
      </c>
      <c r="BD34" s="46">
        <v>2</v>
      </c>
      <c r="BE34" s="46">
        <v>2</v>
      </c>
      <c r="BF34" s="46">
        <v>6</v>
      </c>
      <c r="BG34" s="46">
        <v>6</v>
      </c>
      <c r="BH34" s="46">
        <v>4</v>
      </c>
      <c r="BI34" s="46">
        <v>4</v>
      </c>
      <c r="BJ34" s="46">
        <v>16</v>
      </c>
      <c r="BK34" s="46">
        <v>16</v>
      </c>
      <c r="BL34" s="47">
        <v>32</v>
      </c>
    </row>
    <row r="35" spans="1:64" ht="32">
      <c r="A35" s="40" t="s">
        <v>60</v>
      </c>
      <c r="B35" s="9">
        <v>42</v>
      </c>
      <c r="C35" s="9">
        <v>46</v>
      </c>
      <c r="D35" s="9">
        <v>12</v>
      </c>
      <c r="E35" s="9">
        <v>13</v>
      </c>
      <c r="F35" s="9">
        <v>68</v>
      </c>
      <c r="G35" s="9">
        <v>70</v>
      </c>
      <c r="H35" s="9">
        <v>42</v>
      </c>
      <c r="I35" s="9">
        <v>43</v>
      </c>
      <c r="J35" s="9">
        <v>164</v>
      </c>
      <c r="K35" s="9">
        <v>172</v>
      </c>
      <c r="L35" s="41">
        <v>336</v>
      </c>
      <c r="N35" s="40" t="s">
        <v>60</v>
      </c>
      <c r="O35" s="9">
        <v>42</v>
      </c>
      <c r="P35" s="9">
        <v>45</v>
      </c>
      <c r="Q35" s="9">
        <v>12</v>
      </c>
      <c r="R35" s="9">
        <v>13</v>
      </c>
      <c r="S35" s="9">
        <v>67</v>
      </c>
      <c r="T35" s="9">
        <v>70</v>
      </c>
      <c r="U35" s="9">
        <v>41</v>
      </c>
      <c r="V35" s="9">
        <v>43</v>
      </c>
      <c r="W35" s="9">
        <v>162</v>
      </c>
      <c r="X35" s="9">
        <v>171</v>
      </c>
      <c r="Y35" s="41">
        <v>333</v>
      </c>
      <c r="AA35" s="40" t="s">
        <v>60</v>
      </c>
      <c r="AB35" s="9">
        <v>35</v>
      </c>
      <c r="AC35" s="9">
        <v>37</v>
      </c>
      <c r="AD35" s="9">
        <v>10</v>
      </c>
      <c r="AE35" s="9">
        <v>10</v>
      </c>
      <c r="AF35" s="9">
        <v>55</v>
      </c>
      <c r="AG35" s="9">
        <v>58</v>
      </c>
      <c r="AH35" s="9">
        <v>33</v>
      </c>
      <c r="AI35" s="9">
        <v>35</v>
      </c>
      <c r="AJ35" s="9">
        <v>133</v>
      </c>
      <c r="AK35" s="9">
        <v>140</v>
      </c>
      <c r="AL35" s="41">
        <v>273</v>
      </c>
      <c r="AN35" s="40" t="s">
        <v>60</v>
      </c>
      <c r="AO35" s="46">
        <v>35</v>
      </c>
      <c r="AP35" s="46">
        <v>38</v>
      </c>
      <c r="AQ35" s="46">
        <v>10</v>
      </c>
      <c r="AR35" s="46">
        <v>10</v>
      </c>
      <c r="AS35" s="46">
        <v>56</v>
      </c>
      <c r="AT35" s="46">
        <v>59</v>
      </c>
      <c r="AU35" s="46">
        <v>34</v>
      </c>
      <c r="AV35" s="46">
        <v>36</v>
      </c>
      <c r="AW35" s="46">
        <v>135</v>
      </c>
      <c r="AX35" s="46">
        <v>143</v>
      </c>
      <c r="AY35" s="47">
        <v>278</v>
      </c>
      <c r="BA35" s="40" t="s">
        <v>60</v>
      </c>
      <c r="BB35" s="46">
        <v>4</v>
      </c>
      <c r="BC35" s="46">
        <v>4</v>
      </c>
      <c r="BD35" s="46">
        <v>2</v>
      </c>
      <c r="BE35" s="46">
        <v>2</v>
      </c>
      <c r="BF35" s="46">
        <v>8</v>
      </c>
      <c r="BG35" s="46">
        <v>8</v>
      </c>
      <c r="BH35" s="46">
        <v>4</v>
      </c>
      <c r="BI35" s="46">
        <v>4</v>
      </c>
      <c r="BJ35" s="46">
        <v>18</v>
      </c>
      <c r="BK35" s="46">
        <v>18</v>
      </c>
      <c r="BL35" s="47">
        <v>36</v>
      </c>
    </row>
    <row r="36" spans="1:64" ht="32">
      <c r="A36" s="40" t="s">
        <v>61</v>
      </c>
      <c r="B36" s="9">
        <v>53</v>
      </c>
      <c r="C36" s="9">
        <v>51</v>
      </c>
      <c r="D36" s="9">
        <v>15</v>
      </c>
      <c r="E36" s="9">
        <v>14</v>
      </c>
      <c r="F36" s="9">
        <v>84</v>
      </c>
      <c r="G36" s="9">
        <v>80</v>
      </c>
      <c r="H36" s="9">
        <v>53</v>
      </c>
      <c r="I36" s="9">
        <v>49</v>
      </c>
      <c r="J36" s="9">
        <v>205</v>
      </c>
      <c r="K36" s="9">
        <v>194</v>
      </c>
      <c r="L36" s="41">
        <v>399</v>
      </c>
      <c r="N36" s="40" t="s">
        <v>61</v>
      </c>
      <c r="O36" s="9">
        <v>53</v>
      </c>
      <c r="P36" s="9">
        <v>51</v>
      </c>
      <c r="Q36" s="9">
        <v>15</v>
      </c>
      <c r="R36" s="9">
        <v>14</v>
      </c>
      <c r="S36" s="9">
        <v>84</v>
      </c>
      <c r="T36" s="9">
        <v>80</v>
      </c>
      <c r="U36" s="9">
        <v>53</v>
      </c>
      <c r="V36" s="9">
        <v>48</v>
      </c>
      <c r="W36" s="9">
        <v>205</v>
      </c>
      <c r="X36" s="9">
        <v>193</v>
      </c>
      <c r="Y36" s="41">
        <v>398</v>
      </c>
      <c r="AA36" s="40" t="s">
        <v>61</v>
      </c>
      <c r="AB36" s="9">
        <v>43</v>
      </c>
      <c r="AC36" s="9">
        <v>42</v>
      </c>
      <c r="AD36" s="9">
        <v>12</v>
      </c>
      <c r="AE36" s="9">
        <v>12</v>
      </c>
      <c r="AF36" s="9">
        <v>69</v>
      </c>
      <c r="AG36" s="9">
        <v>65</v>
      </c>
      <c r="AH36" s="9">
        <v>44</v>
      </c>
      <c r="AI36" s="9">
        <v>39</v>
      </c>
      <c r="AJ36" s="9">
        <v>168</v>
      </c>
      <c r="AK36" s="9">
        <v>158</v>
      </c>
      <c r="AL36" s="41">
        <v>326</v>
      </c>
      <c r="AN36" s="40" t="s">
        <v>61</v>
      </c>
      <c r="AO36" s="46">
        <v>44</v>
      </c>
      <c r="AP36" s="46">
        <v>43</v>
      </c>
      <c r="AQ36" s="46">
        <v>12</v>
      </c>
      <c r="AR36" s="46">
        <v>12</v>
      </c>
      <c r="AS36" s="46">
        <v>70</v>
      </c>
      <c r="AT36" s="46">
        <v>66</v>
      </c>
      <c r="AU36" s="46">
        <v>45</v>
      </c>
      <c r="AV36" s="46">
        <v>40</v>
      </c>
      <c r="AW36" s="46">
        <v>171</v>
      </c>
      <c r="AX36" s="46">
        <v>161</v>
      </c>
      <c r="AY36" s="47">
        <v>332</v>
      </c>
      <c r="BA36" s="40" t="s">
        <v>61</v>
      </c>
      <c r="BB36" s="46">
        <v>4</v>
      </c>
      <c r="BC36" s="46">
        <v>4</v>
      </c>
      <c r="BD36" s="46">
        <v>2</v>
      </c>
      <c r="BE36" s="46">
        <v>2</v>
      </c>
      <c r="BF36" s="46">
        <v>8</v>
      </c>
      <c r="BG36" s="46">
        <v>8</v>
      </c>
      <c r="BH36" s="46">
        <v>4</v>
      </c>
      <c r="BI36" s="46">
        <v>6</v>
      </c>
      <c r="BJ36" s="46">
        <v>18</v>
      </c>
      <c r="BK36" s="46">
        <v>20</v>
      </c>
      <c r="BL36" s="47">
        <v>38</v>
      </c>
    </row>
    <row r="37" spans="1:64" ht="32">
      <c r="A37" s="40" t="s">
        <v>62</v>
      </c>
      <c r="B37" s="9">
        <v>59</v>
      </c>
      <c r="C37" s="9">
        <v>52</v>
      </c>
      <c r="D37" s="9">
        <v>16</v>
      </c>
      <c r="E37" s="9">
        <v>14</v>
      </c>
      <c r="F37" s="9">
        <v>96</v>
      </c>
      <c r="G37" s="9">
        <v>82</v>
      </c>
      <c r="H37" s="9">
        <v>63</v>
      </c>
      <c r="I37" s="9">
        <v>50</v>
      </c>
      <c r="J37" s="9">
        <v>234</v>
      </c>
      <c r="K37" s="9">
        <v>198</v>
      </c>
      <c r="L37" s="41">
        <v>432</v>
      </c>
      <c r="N37" s="40" t="s">
        <v>62</v>
      </c>
      <c r="O37" s="9">
        <v>59</v>
      </c>
      <c r="P37" s="9">
        <v>52</v>
      </c>
      <c r="Q37" s="9">
        <v>16</v>
      </c>
      <c r="R37" s="9">
        <v>14</v>
      </c>
      <c r="S37" s="9">
        <v>95</v>
      </c>
      <c r="T37" s="9">
        <v>82</v>
      </c>
      <c r="U37" s="9">
        <v>62</v>
      </c>
      <c r="V37" s="9">
        <v>50</v>
      </c>
      <c r="W37" s="9">
        <v>232</v>
      </c>
      <c r="X37" s="9">
        <v>198</v>
      </c>
      <c r="Y37" s="41">
        <v>430</v>
      </c>
      <c r="AA37" s="40" t="s">
        <v>62</v>
      </c>
      <c r="AB37" s="9">
        <v>48</v>
      </c>
      <c r="AC37" s="9">
        <v>43</v>
      </c>
      <c r="AD37" s="9">
        <v>13</v>
      </c>
      <c r="AE37" s="9">
        <v>11</v>
      </c>
      <c r="AF37" s="9">
        <v>78</v>
      </c>
      <c r="AG37" s="9">
        <v>67</v>
      </c>
      <c r="AH37" s="9">
        <v>51</v>
      </c>
      <c r="AI37" s="9">
        <v>41</v>
      </c>
      <c r="AJ37" s="9">
        <v>190</v>
      </c>
      <c r="AK37" s="9">
        <v>162</v>
      </c>
      <c r="AL37" s="41">
        <v>352</v>
      </c>
      <c r="AN37" s="40" t="s">
        <v>62</v>
      </c>
      <c r="AO37" s="46">
        <v>49</v>
      </c>
      <c r="AP37" s="46">
        <v>44</v>
      </c>
      <c r="AQ37" s="46">
        <v>14</v>
      </c>
      <c r="AR37" s="46">
        <v>12</v>
      </c>
      <c r="AS37" s="46">
        <v>79</v>
      </c>
      <c r="AT37" s="46">
        <v>68</v>
      </c>
      <c r="AU37" s="46">
        <v>52</v>
      </c>
      <c r="AV37" s="46">
        <v>41</v>
      </c>
      <c r="AW37" s="46">
        <v>194</v>
      </c>
      <c r="AX37" s="46">
        <v>165</v>
      </c>
      <c r="AY37" s="47">
        <v>359</v>
      </c>
      <c r="BA37" s="40" t="s">
        <v>62</v>
      </c>
      <c r="BB37" s="46">
        <v>4</v>
      </c>
      <c r="BC37" s="46">
        <v>4</v>
      </c>
      <c r="BD37" s="46">
        <v>2</v>
      </c>
      <c r="BE37" s="46">
        <v>2</v>
      </c>
      <c r="BF37" s="46">
        <v>8</v>
      </c>
      <c r="BG37" s="46">
        <v>8</v>
      </c>
      <c r="BH37" s="46">
        <v>6</v>
      </c>
      <c r="BI37" s="46">
        <v>6</v>
      </c>
      <c r="BJ37" s="46">
        <v>20</v>
      </c>
      <c r="BK37" s="46">
        <v>20</v>
      </c>
      <c r="BL37" s="47">
        <v>40</v>
      </c>
    </row>
    <row r="38" spans="1:64" ht="32">
      <c r="A38" s="40" t="s">
        <v>63</v>
      </c>
      <c r="B38" s="9">
        <v>60</v>
      </c>
      <c r="C38" s="9">
        <v>50</v>
      </c>
      <c r="D38" s="9">
        <v>16</v>
      </c>
      <c r="E38" s="9">
        <v>14</v>
      </c>
      <c r="F38" s="9">
        <v>101</v>
      </c>
      <c r="G38" s="9">
        <v>79</v>
      </c>
      <c r="H38" s="9">
        <v>69</v>
      </c>
      <c r="I38" s="9">
        <v>48</v>
      </c>
      <c r="J38" s="9">
        <v>246</v>
      </c>
      <c r="K38" s="9">
        <v>191</v>
      </c>
      <c r="L38" s="41">
        <v>437</v>
      </c>
      <c r="N38" s="40" t="s">
        <v>63</v>
      </c>
      <c r="O38" s="9">
        <v>60</v>
      </c>
      <c r="P38" s="9">
        <v>50</v>
      </c>
      <c r="Q38" s="9">
        <v>17</v>
      </c>
      <c r="R38" s="9">
        <v>14</v>
      </c>
      <c r="S38" s="9">
        <v>100</v>
      </c>
      <c r="T38" s="9">
        <v>78</v>
      </c>
      <c r="U38" s="9">
        <v>68</v>
      </c>
      <c r="V38" s="9">
        <v>48</v>
      </c>
      <c r="W38" s="9">
        <v>245</v>
      </c>
      <c r="X38" s="9">
        <v>190</v>
      </c>
      <c r="Y38" s="41">
        <v>435</v>
      </c>
      <c r="AA38" s="40" t="s">
        <v>63</v>
      </c>
      <c r="AB38" s="9">
        <v>49</v>
      </c>
      <c r="AC38" s="9">
        <v>41</v>
      </c>
      <c r="AD38" s="9">
        <v>14</v>
      </c>
      <c r="AE38" s="9">
        <v>11</v>
      </c>
      <c r="AF38" s="9">
        <v>82</v>
      </c>
      <c r="AG38" s="9">
        <v>65</v>
      </c>
      <c r="AH38" s="9">
        <v>55</v>
      </c>
      <c r="AI38" s="9">
        <v>39</v>
      </c>
      <c r="AJ38" s="9">
        <v>200</v>
      </c>
      <c r="AK38" s="9">
        <v>156</v>
      </c>
      <c r="AL38" s="41">
        <v>356</v>
      </c>
      <c r="AN38" s="40" t="s">
        <v>63</v>
      </c>
      <c r="AO38" s="46">
        <v>50</v>
      </c>
      <c r="AP38" s="46">
        <v>42</v>
      </c>
      <c r="AQ38" s="46">
        <v>14</v>
      </c>
      <c r="AR38" s="46">
        <v>11</v>
      </c>
      <c r="AS38" s="46">
        <v>84</v>
      </c>
      <c r="AT38" s="46">
        <v>65</v>
      </c>
      <c r="AU38" s="46">
        <v>56</v>
      </c>
      <c r="AV38" s="46">
        <v>40</v>
      </c>
      <c r="AW38" s="46">
        <v>204</v>
      </c>
      <c r="AX38" s="46">
        <v>158</v>
      </c>
      <c r="AY38" s="47">
        <v>362</v>
      </c>
      <c r="BA38" s="40" t="s">
        <v>63</v>
      </c>
      <c r="BB38" s="46">
        <v>6</v>
      </c>
      <c r="BC38" s="46">
        <v>6</v>
      </c>
      <c r="BD38" s="46">
        <v>2</v>
      </c>
      <c r="BE38" s="46">
        <v>2</v>
      </c>
      <c r="BF38" s="46">
        <v>10</v>
      </c>
      <c r="BG38" s="46">
        <v>6</v>
      </c>
      <c r="BH38" s="46">
        <v>8</v>
      </c>
      <c r="BI38" s="46">
        <v>6</v>
      </c>
      <c r="BJ38" s="46">
        <v>26</v>
      </c>
      <c r="BK38" s="46">
        <v>20</v>
      </c>
      <c r="BL38" s="47">
        <v>46</v>
      </c>
    </row>
    <row r="39" spans="1:64" ht="32">
      <c r="A39" s="40" t="s">
        <v>64</v>
      </c>
      <c r="B39" s="9">
        <v>68</v>
      </c>
      <c r="C39" s="9">
        <v>53</v>
      </c>
      <c r="D39" s="9">
        <v>18</v>
      </c>
      <c r="E39" s="9">
        <v>15</v>
      </c>
      <c r="F39" s="9">
        <v>116</v>
      </c>
      <c r="G39" s="9">
        <v>84</v>
      </c>
      <c r="H39" s="9">
        <v>82</v>
      </c>
      <c r="I39" s="9">
        <v>50</v>
      </c>
      <c r="J39" s="9">
        <v>284</v>
      </c>
      <c r="K39" s="9">
        <v>202</v>
      </c>
      <c r="L39" s="41">
        <v>486</v>
      </c>
      <c r="N39" s="40" t="s">
        <v>64</v>
      </c>
      <c r="O39" s="9">
        <v>68</v>
      </c>
      <c r="P39" s="9">
        <v>52</v>
      </c>
      <c r="Q39" s="9">
        <v>18</v>
      </c>
      <c r="R39" s="9">
        <v>15</v>
      </c>
      <c r="S39" s="9">
        <v>116</v>
      </c>
      <c r="T39" s="9">
        <v>83</v>
      </c>
      <c r="U39" s="9">
        <v>82</v>
      </c>
      <c r="V39" s="9">
        <v>50</v>
      </c>
      <c r="W39" s="9">
        <v>284</v>
      </c>
      <c r="X39" s="9">
        <v>200</v>
      </c>
      <c r="Y39" s="41">
        <v>484</v>
      </c>
      <c r="AA39" s="40" t="s">
        <v>64</v>
      </c>
      <c r="AB39" s="9">
        <v>55</v>
      </c>
      <c r="AC39" s="9">
        <v>43</v>
      </c>
      <c r="AD39" s="9">
        <v>15</v>
      </c>
      <c r="AE39" s="9">
        <v>12</v>
      </c>
      <c r="AF39" s="9">
        <v>94</v>
      </c>
      <c r="AG39" s="9">
        <v>67</v>
      </c>
      <c r="AH39" s="9">
        <v>67</v>
      </c>
      <c r="AI39" s="9">
        <v>41</v>
      </c>
      <c r="AJ39" s="9">
        <v>231</v>
      </c>
      <c r="AK39" s="9">
        <v>163</v>
      </c>
      <c r="AL39" s="41">
        <v>394</v>
      </c>
      <c r="AN39" s="40" t="s">
        <v>64</v>
      </c>
      <c r="AO39" s="46">
        <v>56</v>
      </c>
      <c r="AP39" s="46">
        <v>44</v>
      </c>
      <c r="AQ39" s="46">
        <v>15</v>
      </c>
      <c r="AR39" s="46">
        <v>12</v>
      </c>
      <c r="AS39" s="46">
        <v>97</v>
      </c>
      <c r="AT39" s="46">
        <v>70</v>
      </c>
      <c r="AU39" s="46">
        <v>69</v>
      </c>
      <c r="AV39" s="46">
        <v>42</v>
      </c>
      <c r="AW39" s="46">
        <v>237</v>
      </c>
      <c r="AX39" s="46">
        <v>168</v>
      </c>
      <c r="AY39" s="47">
        <v>405</v>
      </c>
      <c r="BA39" s="40" t="s">
        <v>64</v>
      </c>
      <c r="BB39" s="46">
        <v>8</v>
      </c>
      <c r="BC39" s="46">
        <v>6</v>
      </c>
      <c r="BD39" s="46">
        <v>2</v>
      </c>
      <c r="BE39" s="9">
        <v>0</v>
      </c>
      <c r="BF39" s="46">
        <v>12</v>
      </c>
      <c r="BG39" s="46">
        <v>8</v>
      </c>
      <c r="BH39" s="46">
        <v>8</v>
      </c>
      <c r="BI39" s="46">
        <v>6</v>
      </c>
      <c r="BJ39" s="46">
        <v>30</v>
      </c>
      <c r="BK39" s="46">
        <v>20</v>
      </c>
      <c r="BL39" s="47">
        <v>50</v>
      </c>
    </row>
    <row r="40" spans="1:64" ht="32">
      <c r="A40" s="40" t="s">
        <v>65</v>
      </c>
      <c r="B40" s="9">
        <v>79</v>
      </c>
      <c r="C40" s="9">
        <v>51</v>
      </c>
      <c r="D40" s="9">
        <v>19</v>
      </c>
      <c r="E40" s="9">
        <v>14</v>
      </c>
      <c r="F40" s="9">
        <v>132</v>
      </c>
      <c r="G40" s="9">
        <v>80</v>
      </c>
      <c r="H40" s="9">
        <v>97</v>
      </c>
      <c r="I40" s="9">
        <v>48</v>
      </c>
      <c r="J40" s="9">
        <v>327</v>
      </c>
      <c r="K40" s="9">
        <v>193</v>
      </c>
      <c r="L40" s="41">
        <v>520</v>
      </c>
      <c r="N40" s="40" t="s">
        <v>65</v>
      </c>
      <c r="O40" s="9">
        <v>78</v>
      </c>
      <c r="P40" s="9">
        <v>50</v>
      </c>
      <c r="Q40" s="9">
        <v>18</v>
      </c>
      <c r="R40" s="9">
        <v>14</v>
      </c>
      <c r="S40" s="9">
        <v>130</v>
      </c>
      <c r="T40" s="9">
        <v>79</v>
      </c>
      <c r="U40" s="9">
        <v>97</v>
      </c>
      <c r="V40" s="9">
        <v>48</v>
      </c>
      <c r="W40" s="9">
        <v>323</v>
      </c>
      <c r="X40" s="9">
        <v>191</v>
      </c>
      <c r="Y40" s="41">
        <v>514</v>
      </c>
      <c r="AA40" s="40" t="s">
        <v>65</v>
      </c>
      <c r="AB40" s="9">
        <v>64</v>
      </c>
      <c r="AC40" s="9">
        <v>41</v>
      </c>
      <c r="AD40" s="9">
        <v>15</v>
      </c>
      <c r="AE40" s="9">
        <v>12</v>
      </c>
      <c r="AF40" s="9">
        <v>108</v>
      </c>
      <c r="AG40" s="9">
        <v>66</v>
      </c>
      <c r="AH40" s="9">
        <v>79</v>
      </c>
      <c r="AI40" s="9">
        <v>38</v>
      </c>
      <c r="AJ40" s="9">
        <v>266</v>
      </c>
      <c r="AK40" s="9">
        <v>157</v>
      </c>
      <c r="AL40" s="41">
        <v>423</v>
      </c>
      <c r="AN40" s="40" t="s">
        <v>65</v>
      </c>
      <c r="AO40" s="46">
        <v>65</v>
      </c>
      <c r="AP40" s="46">
        <v>42</v>
      </c>
      <c r="AQ40" s="46">
        <v>16</v>
      </c>
      <c r="AR40" s="46">
        <v>12</v>
      </c>
      <c r="AS40" s="46">
        <v>109</v>
      </c>
      <c r="AT40" s="46">
        <v>67</v>
      </c>
      <c r="AU40" s="46">
        <v>80</v>
      </c>
      <c r="AV40" s="46">
        <v>40</v>
      </c>
      <c r="AW40" s="46">
        <v>270</v>
      </c>
      <c r="AX40" s="46">
        <v>161</v>
      </c>
      <c r="AY40" s="47">
        <v>431</v>
      </c>
      <c r="BA40" s="40" t="s">
        <v>65</v>
      </c>
      <c r="BB40" s="46">
        <v>10</v>
      </c>
      <c r="BC40" s="46">
        <v>6</v>
      </c>
      <c r="BD40" s="9">
        <v>0</v>
      </c>
      <c r="BE40" s="9">
        <v>0</v>
      </c>
      <c r="BF40" s="46">
        <v>14</v>
      </c>
      <c r="BG40" s="46">
        <v>8</v>
      </c>
      <c r="BH40" s="46">
        <v>10</v>
      </c>
      <c r="BI40" s="46">
        <v>6</v>
      </c>
      <c r="BJ40" s="46">
        <v>34</v>
      </c>
      <c r="BK40" s="46">
        <v>20</v>
      </c>
      <c r="BL40" s="47">
        <v>54</v>
      </c>
    </row>
    <row r="41" spans="1:64" ht="32">
      <c r="A41" s="40" t="s">
        <v>66</v>
      </c>
      <c r="B41" s="9">
        <v>155</v>
      </c>
      <c r="C41" s="9">
        <v>37</v>
      </c>
      <c r="D41" s="9">
        <v>30</v>
      </c>
      <c r="E41" s="9">
        <v>10</v>
      </c>
      <c r="F41" s="9">
        <v>209</v>
      </c>
      <c r="G41" s="9">
        <v>58</v>
      </c>
      <c r="H41" s="9">
        <v>125</v>
      </c>
      <c r="I41" s="9">
        <v>35</v>
      </c>
      <c r="J41" s="9">
        <v>519</v>
      </c>
      <c r="K41" s="9">
        <v>140</v>
      </c>
      <c r="L41" s="41">
        <v>659</v>
      </c>
      <c r="N41" s="40" t="s">
        <v>66</v>
      </c>
      <c r="O41" s="9">
        <v>155</v>
      </c>
      <c r="P41" s="9">
        <v>36</v>
      </c>
      <c r="Q41" s="9">
        <v>30</v>
      </c>
      <c r="R41" s="9">
        <v>10</v>
      </c>
      <c r="S41" s="9">
        <v>208</v>
      </c>
      <c r="T41" s="9">
        <v>57</v>
      </c>
      <c r="U41" s="9">
        <v>125</v>
      </c>
      <c r="V41" s="9">
        <v>36</v>
      </c>
      <c r="W41" s="9">
        <v>518</v>
      </c>
      <c r="X41" s="9">
        <v>139</v>
      </c>
      <c r="Y41" s="41">
        <v>657</v>
      </c>
      <c r="AA41" s="40" t="s">
        <v>66</v>
      </c>
      <c r="AB41" s="9">
        <v>127</v>
      </c>
      <c r="AC41" s="9">
        <v>30</v>
      </c>
      <c r="AD41" s="9">
        <v>25</v>
      </c>
      <c r="AE41" s="9">
        <v>8</v>
      </c>
      <c r="AF41" s="9">
        <v>170</v>
      </c>
      <c r="AG41" s="9">
        <v>47</v>
      </c>
      <c r="AH41" s="9">
        <v>102</v>
      </c>
      <c r="AI41" s="9">
        <v>29</v>
      </c>
      <c r="AJ41" s="9">
        <v>424</v>
      </c>
      <c r="AK41" s="9">
        <v>114</v>
      </c>
      <c r="AL41" s="41">
        <v>538</v>
      </c>
      <c r="AN41" s="40" t="s">
        <v>66</v>
      </c>
      <c r="AO41" s="46">
        <v>129</v>
      </c>
      <c r="AP41" s="46">
        <v>30</v>
      </c>
      <c r="AQ41" s="46">
        <v>25</v>
      </c>
      <c r="AR41" s="46">
        <v>9</v>
      </c>
      <c r="AS41" s="46">
        <v>174</v>
      </c>
      <c r="AT41" s="46">
        <v>48</v>
      </c>
      <c r="AU41" s="46">
        <v>104</v>
      </c>
      <c r="AV41" s="46">
        <v>29</v>
      </c>
      <c r="AW41" s="46">
        <v>432</v>
      </c>
      <c r="AX41" s="46">
        <v>116</v>
      </c>
      <c r="AY41" s="47">
        <v>548</v>
      </c>
      <c r="BA41" s="40" t="s">
        <v>66</v>
      </c>
      <c r="BB41" s="46">
        <v>18</v>
      </c>
      <c r="BC41" s="46">
        <v>4</v>
      </c>
      <c r="BD41" s="46">
        <v>2</v>
      </c>
      <c r="BE41" s="46">
        <v>2</v>
      </c>
      <c r="BF41" s="46">
        <v>22</v>
      </c>
      <c r="BG41" s="46">
        <v>6</v>
      </c>
      <c r="BH41" s="46">
        <v>12</v>
      </c>
      <c r="BI41" s="46">
        <v>2</v>
      </c>
      <c r="BJ41" s="46">
        <v>54</v>
      </c>
      <c r="BK41" s="46">
        <v>14</v>
      </c>
      <c r="BL41" s="47">
        <v>68</v>
      </c>
    </row>
    <row r="42" spans="1:64" ht="32">
      <c r="A42" s="40" t="s">
        <v>67</v>
      </c>
      <c r="B42" s="9">
        <v>178</v>
      </c>
      <c r="C42" s="9">
        <v>28</v>
      </c>
      <c r="D42" s="9">
        <v>32</v>
      </c>
      <c r="E42" s="9">
        <v>8</v>
      </c>
      <c r="F42" s="9">
        <v>218</v>
      </c>
      <c r="G42" s="9">
        <v>46</v>
      </c>
      <c r="H42" s="9">
        <v>115</v>
      </c>
      <c r="I42" s="9">
        <v>28</v>
      </c>
      <c r="J42" s="9">
        <v>543</v>
      </c>
      <c r="K42" s="9">
        <v>110</v>
      </c>
      <c r="L42" s="41">
        <v>653</v>
      </c>
      <c r="N42" s="40" t="s">
        <v>67</v>
      </c>
      <c r="O42" s="9">
        <v>177</v>
      </c>
      <c r="P42" s="9">
        <v>28</v>
      </c>
      <c r="Q42" s="9">
        <v>32</v>
      </c>
      <c r="R42" s="9">
        <v>8</v>
      </c>
      <c r="S42" s="9">
        <v>217</v>
      </c>
      <c r="T42" s="9">
        <v>45</v>
      </c>
      <c r="U42" s="9">
        <v>114</v>
      </c>
      <c r="V42" s="9">
        <v>28</v>
      </c>
      <c r="W42" s="9">
        <v>540</v>
      </c>
      <c r="X42" s="9">
        <v>109</v>
      </c>
      <c r="Y42" s="41">
        <v>649</v>
      </c>
      <c r="AA42" s="40" t="s">
        <v>67</v>
      </c>
      <c r="AB42" s="9">
        <v>145</v>
      </c>
      <c r="AC42" s="9">
        <v>23</v>
      </c>
      <c r="AD42" s="9">
        <v>26</v>
      </c>
      <c r="AE42" s="9">
        <v>7</v>
      </c>
      <c r="AF42" s="9">
        <v>178</v>
      </c>
      <c r="AG42" s="9">
        <v>37</v>
      </c>
      <c r="AH42" s="9">
        <v>93</v>
      </c>
      <c r="AI42" s="9">
        <v>23</v>
      </c>
      <c r="AJ42" s="9">
        <v>442</v>
      </c>
      <c r="AK42" s="9">
        <v>90</v>
      </c>
      <c r="AL42" s="41">
        <v>532</v>
      </c>
      <c r="AN42" s="40" t="s">
        <v>67</v>
      </c>
      <c r="AO42" s="46">
        <v>148</v>
      </c>
      <c r="AP42" s="46">
        <v>24</v>
      </c>
      <c r="AQ42" s="46">
        <v>27</v>
      </c>
      <c r="AR42" s="46">
        <v>7</v>
      </c>
      <c r="AS42" s="46">
        <v>182</v>
      </c>
      <c r="AT42" s="46">
        <v>38</v>
      </c>
      <c r="AU42" s="46">
        <v>95</v>
      </c>
      <c r="AV42" s="46">
        <v>22</v>
      </c>
      <c r="AW42" s="46">
        <v>452</v>
      </c>
      <c r="AX42" s="46">
        <v>91</v>
      </c>
      <c r="AY42" s="47">
        <v>543</v>
      </c>
      <c r="BA42" s="40" t="s">
        <v>67</v>
      </c>
      <c r="BB42" s="46">
        <v>18</v>
      </c>
      <c r="BC42" s="46">
        <v>4</v>
      </c>
      <c r="BD42" s="46">
        <v>4</v>
      </c>
      <c r="BE42" s="9">
        <v>0</v>
      </c>
      <c r="BF42" s="46">
        <v>22</v>
      </c>
      <c r="BG42" s="46">
        <v>4</v>
      </c>
      <c r="BH42" s="46">
        <v>12</v>
      </c>
      <c r="BI42" s="46">
        <v>4</v>
      </c>
      <c r="BJ42" s="46">
        <v>56</v>
      </c>
      <c r="BK42" s="46">
        <v>12</v>
      </c>
      <c r="BL42" s="47">
        <v>68</v>
      </c>
    </row>
    <row r="43" spans="1:64" ht="32">
      <c r="A43" s="40" t="s">
        <v>68</v>
      </c>
      <c r="B43" s="9">
        <v>131</v>
      </c>
      <c r="C43" s="9">
        <v>20</v>
      </c>
      <c r="D43" s="9">
        <v>22</v>
      </c>
      <c r="E43" s="9">
        <v>6</v>
      </c>
      <c r="F43" s="9">
        <v>155</v>
      </c>
      <c r="G43" s="9">
        <v>32</v>
      </c>
      <c r="H43" s="9">
        <v>78</v>
      </c>
      <c r="I43" s="9">
        <v>19</v>
      </c>
      <c r="J43" s="9">
        <v>386</v>
      </c>
      <c r="K43" s="9">
        <v>77</v>
      </c>
      <c r="L43" s="41">
        <v>463</v>
      </c>
      <c r="N43" s="40" t="s">
        <v>68</v>
      </c>
      <c r="O43" s="9">
        <v>131</v>
      </c>
      <c r="P43" s="9">
        <v>20</v>
      </c>
      <c r="Q43" s="9">
        <v>22</v>
      </c>
      <c r="R43" s="9">
        <v>6</v>
      </c>
      <c r="S43" s="9">
        <v>154</v>
      </c>
      <c r="T43" s="9">
        <v>32</v>
      </c>
      <c r="U43" s="9">
        <v>77</v>
      </c>
      <c r="V43" s="9">
        <v>19</v>
      </c>
      <c r="W43" s="9">
        <v>384</v>
      </c>
      <c r="X43" s="9">
        <v>77</v>
      </c>
      <c r="Y43" s="41">
        <v>461</v>
      </c>
      <c r="AA43" s="40" t="s">
        <v>68</v>
      </c>
      <c r="AB43" s="9">
        <v>107</v>
      </c>
      <c r="AC43" s="9">
        <v>16</v>
      </c>
      <c r="AD43" s="9">
        <v>18</v>
      </c>
      <c r="AE43" s="9">
        <v>5</v>
      </c>
      <c r="AF43" s="9">
        <v>126</v>
      </c>
      <c r="AG43" s="9">
        <v>26</v>
      </c>
      <c r="AH43" s="9">
        <v>64</v>
      </c>
      <c r="AI43" s="9">
        <v>16</v>
      </c>
      <c r="AJ43" s="9">
        <v>315</v>
      </c>
      <c r="AK43" s="9">
        <v>63</v>
      </c>
      <c r="AL43" s="41">
        <v>378</v>
      </c>
      <c r="AN43" s="40" t="s">
        <v>68</v>
      </c>
      <c r="AO43" s="46">
        <v>109</v>
      </c>
      <c r="AP43" s="46">
        <v>16</v>
      </c>
      <c r="AQ43" s="46">
        <v>18</v>
      </c>
      <c r="AR43" s="46">
        <v>5</v>
      </c>
      <c r="AS43" s="46">
        <v>129</v>
      </c>
      <c r="AT43" s="46">
        <v>27</v>
      </c>
      <c r="AU43" s="46">
        <v>65</v>
      </c>
      <c r="AV43" s="46">
        <v>16</v>
      </c>
      <c r="AW43" s="46">
        <v>321</v>
      </c>
      <c r="AX43" s="46">
        <v>64</v>
      </c>
      <c r="AY43" s="47">
        <v>385</v>
      </c>
      <c r="BA43" s="40" t="s">
        <v>68</v>
      </c>
      <c r="BB43" s="46">
        <v>14</v>
      </c>
      <c r="BC43" s="46">
        <v>2</v>
      </c>
      <c r="BD43" s="46">
        <v>2</v>
      </c>
      <c r="BE43" s="9">
        <v>0</v>
      </c>
      <c r="BF43" s="46">
        <v>18</v>
      </c>
      <c r="BG43" s="46">
        <v>4</v>
      </c>
      <c r="BH43" s="46">
        <v>10</v>
      </c>
      <c r="BI43" s="46">
        <v>2</v>
      </c>
      <c r="BJ43" s="46">
        <v>44</v>
      </c>
      <c r="BK43" s="46">
        <v>8</v>
      </c>
      <c r="BL43" s="47">
        <v>52</v>
      </c>
    </row>
    <row r="44" spans="1:64">
      <c r="A44" s="40" t="s">
        <v>162</v>
      </c>
      <c r="B44" s="9">
        <v>66</v>
      </c>
      <c r="C44" s="9">
        <v>8</v>
      </c>
      <c r="D44" s="9">
        <v>11</v>
      </c>
      <c r="E44" s="9">
        <v>2</v>
      </c>
      <c r="F44" s="9">
        <v>80</v>
      </c>
      <c r="G44" s="9">
        <v>12</v>
      </c>
      <c r="H44" s="9">
        <v>44</v>
      </c>
      <c r="I44" s="9">
        <v>8</v>
      </c>
      <c r="J44" s="9">
        <v>201</v>
      </c>
      <c r="K44" s="9">
        <v>30</v>
      </c>
      <c r="L44" s="41">
        <v>231</v>
      </c>
      <c r="N44" s="40" t="s">
        <v>162</v>
      </c>
      <c r="O44" s="9">
        <v>65</v>
      </c>
      <c r="P44" s="9">
        <v>8</v>
      </c>
      <c r="Q44" s="9">
        <v>11</v>
      </c>
      <c r="R44" s="9">
        <v>2</v>
      </c>
      <c r="S44" s="9">
        <v>80</v>
      </c>
      <c r="T44" s="9">
        <v>12</v>
      </c>
      <c r="U44" s="9">
        <v>44</v>
      </c>
      <c r="V44" s="9">
        <v>8</v>
      </c>
      <c r="W44" s="9">
        <v>200</v>
      </c>
      <c r="X44" s="9">
        <v>30</v>
      </c>
      <c r="Y44" s="41">
        <v>230</v>
      </c>
      <c r="AA44" s="40" t="s">
        <v>162</v>
      </c>
      <c r="AB44" s="9">
        <v>54</v>
      </c>
      <c r="AC44" s="9">
        <v>6</v>
      </c>
      <c r="AD44" s="9">
        <v>9</v>
      </c>
      <c r="AE44" s="9">
        <v>2</v>
      </c>
      <c r="AF44" s="9">
        <v>65</v>
      </c>
      <c r="AG44" s="9">
        <v>10</v>
      </c>
      <c r="AH44" s="9">
        <v>36</v>
      </c>
      <c r="AI44" s="9">
        <v>6</v>
      </c>
      <c r="AJ44" s="9">
        <v>164</v>
      </c>
      <c r="AK44" s="9">
        <v>24</v>
      </c>
      <c r="AL44" s="41">
        <v>188</v>
      </c>
      <c r="AN44" s="40" t="s">
        <v>162</v>
      </c>
      <c r="AO44" s="46">
        <v>54</v>
      </c>
      <c r="AP44" s="46">
        <v>6</v>
      </c>
      <c r="AQ44" s="46">
        <v>9</v>
      </c>
      <c r="AR44" s="46">
        <v>2</v>
      </c>
      <c r="AS44" s="46">
        <v>67</v>
      </c>
      <c r="AT44" s="46">
        <v>10</v>
      </c>
      <c r="AU44" s="46">
        <v>37</v>
      </c>
      <c r="AV44" s="46">
        <v>7</v>
      </c>
      <c r="AW44" s="46">
        <v>167</v>
      </c>
      <c r="AX44" s="46">
        <v>25</v>
      </c>
      <c r="AY44" s="47">
        <v>192</v>
      </c>
      <c r="BA44" s="40" t="s">
        <v>162</v>
      </c>
      <c r="BB44" s="46">
        <v>6</v>
      </c>
      <c r="BC44" s="9">
        <v>0</v>
      </c>
      <c r="BD44" s="46">
        <v>2</v>
      </c>
      <c r="BE44" s="9">
        <v>0</v>
      </c>
      <c r="BF44" s="46">
        <v>8</v>
      </c>
      <c r="BG44" s="9">
        <v>0</v>
      </c>
      <c r="BH44" s="46">
        <v>4</v>
      </c>
      <c r="BI44" s="46">
        <v>2</v>
      </c>
      <c r="BJ44" s="46">
        <v>20</v>
      </c>
      <c r="BK44" s="46">
        <v>2</v>
      </c>
      <c r="BL44" s="47">
        <v>22</v>
      </c>
    </row>
    <row r="45" spans="1:64" ht="17.5" thickBot="1">
      <c r="A45" s="42" t="s">
        <v>160</v>
      </c>
      <c r="B45" s="16">
        <v>998</v>
      </c>
      <c r="C45" s="16">
        <v>998</v>
      </c>
      <c r="D45" s="16">
        <v>222</v>
      </c>
      <c r="E45" s="16">
        <v>222</v>
      </c>
      <c r="F45" s="17">
        <v>1429</v>
      </c>
      <c r="G45" s="17">
        <v>1429</v>
      </c>
      <c r="H45" s="16">
        <v>870</v>
      </c>
      <c r="I45" s="16">
        <v>870</v>
      </c>
      <c r="J45" s="17">
        <v>3519</v>
      </c>
      <c r="K45" s="17">
        <v>3519</v>
      </c>
      <c r="L45" s="43">
        <v>7038</v>
      </c>
      <c r="N45" s="42" t="s">
        <v>160</v>
      </c>
      <c r="O45" s="16">
        <v>992</v>
      </c>
      <c r="P45" s="16">
        <v>992</v>
      </c>
      <c r="Q45" s="16">
        <v>221</v>
      </c>
      <c r="R45" s="16">
        <v>221</v>
      </c>
      <c r="S45" s="17">
        <v>1420</v>
      </c>
      <c r="T45" s="17">
        <v>1420</v>
      </c>
      <c r="U45" s="16">
        <v>865</v>
      </c>
      <c r="V45" s="16">
        <v>865</v>
      </c>
      <c r="W45" s="17">
        <v>3498</v>
      </c>
      <c r="X45" s="17">
        <v>3498</v>
      </c>
      <c r="Y45" s="43">
        <v>6996</v>
      </c>
      <c r="AA45" s="42" t="s">
        <v>160</v>
      </c>
      <c r="AB45" s="16">
        <v>813</v>
      </c>
      <c r="AC45" s="16">
        <v>813</v>
      </c>
      <c r="AD45" s="16">
        <v>181</v>
      </c>
      <c r="AE45" s="16">
        <v>181</v>
      </c>
      <c r="AF45" s="17">
        <v>1164</v>
      </c>
      <c r="AG45" s="17">
        <v>1164</v>
      </c>
      <c r="AH45" s="16">
        <v>708</v>
      </c>
      <c r="AI45" s="16">
        <v>708</v>
      </c>
      <c r="AJ45" s="17">
        <v>2866</v>
      </c>
      <c r="AK45" s="17">
        <v>2866</v>
      </c>
      <c r="AL45" s="43">
        <v>5732</v>
      </c>
      <c r="AN45" s="42" t="s">
        <v>160</v>
      </c>
      <c r="AO45" s="48">
        <v>829</v>
      </c>
      <c r="AP45" s="48">
        <v>829</v>
      </c>
      <c r="AQ45" s="48">
        <v>185</v>
      </c>
      <c r="AR45" s="48">
        <v>185</v>
      </c>
      <c r="AS45" s="51">
        <v>1187</v>
      </c>
      <c r="AT45" s="51">
        <v>1187</v>
      </c>
      <c r="AU45" s="48">
        <v>722</v>
      </c>
      <c r="AV45" s="48">
        <v>722</v>
      </c>
      <c r="AW45" s="51">
        <v>2923</v>
      </c>
      <c r="AX45" s="51">
        <v>2923</v>
      </c>
      <c r="AY45" s="52">
        <v>5846</v>
      </c>
      <c r="BA45" s="42" t="s">
        <v>160</v>
      </c>
      <c r="BB45" s="48">
        <v>104</v>
      </c>
      <c r="BC45" s="48">
        <v>104</v>
      </c>
      <c r="BD45" s="48">
        <v>22</v>
      </c>
      <c r="BE45" s="48">
        <v>22</v>
      </c>
      <c r="BF45" s="48">
        <v>146</v>
      </c>
      <c r="BG45" s="48">
        <v>146</v>
      </c>
      <c r="BH45" s="48">
        <v>90</v>
      </c>
      <c r="BI45" s="48">
        <v>90</v>
      </c>
      <c r="BJ45" s="48">
        <v>362</v>
      </c>
      <c r="BK45" s="48">
        <v>362</v>
      </c>
      <c r="BL45" s="49">
        <v>724</v>
      </c>
    </row>
    <row r="46" spans="1:64" ht="17.5" thickTop="1">
      <c r="A46" s="56"/>
      <c r="B46" s="20"/>
      <c r="C46" s="20"/>
      <c r="D46" s="20"/>
      <c r="E46" s="20"/>
      <c r="F46" s="21"/>
      <c r="G46" s="21"/>
      <c r="H46" s="20"/>
      <c r="I46" s="20"/>
      <c r="J46" s="21"/>
      <c r="K46" s="21"/>
      <c r="L46" s="21"/>
    </row>
    <row r="47" spans="1:64" ht="17.5" thickBot="1">
      <c r="A47" s="57" t="s">
        <v>180</v>
      </c>
      <c r="N47" t="s">
        <v>182</v>
      </c>
      <c r="AA47" s="57" t="s">
        <v>185</v>
      </c>
      <c r="AN47" s="63" t="s">
        <v>186</v>
      </c>
      <c r="BA47" s="57" t="s">
        <v>187</v>
      </c>
    </row>
    <row r="48" spans="1:64" ht="17.5" thickTop="1">
      <c r="A48" s="642" t="s">
        <v>39</v>
      </c>
      <c r="B48" s="645" t="s">
        <v>173</v>
      </c>
      <c r="C48" s="646"/>
      <c r="D48" s="646"/>
      <c r="E48" s="646"/>
      <c r="F48" s="646"/>
      <c r="G48" s="646"/>
      <c r="H48" s="647"/>
      <c r="N48" s="544" t="s">
        <v>39</v>
      </c>
      <c r="O48" s="58" t="s">
        <v>181</v>
      </c>
      <c r="P48" s="59"/>
      <c r="Q48" s="59"/>
      <c r="R48" s="59"/>
      <c r="S48" s="59"/>
      <c r="T48" s="59"/>
      <c r="U48" s="62"/>
      <c r="AA48" s="544" t="s">
        <v>175</v>
      </c>
      <c r="AB48" s="638" t="s">
        <v>181</v>
      </c>
      <c r="AC48" s="639"/>
      <c r="AD48" s="639"/>
      <c r="AE48" s="639"/>
      <c r="AF48" s="639"/>
      <c r="AG48" s="639"/>
      <c r="AH48" s="640"/>
      <c r="AN48" s="544" t="s">
        <v>177</v>
      </c>
      <c r="AO48" s="638" t="s">
        <v>181</v>
      </c>
      <c r="AP48" s="639"/>
      <c r="AQ48" s="639"/>
      <c r="AR48" s="639"/>
      <c r="AS48" s="639"/>
      <c r="AT48" s="639"/>
      <c r="AU48" s="640"/>
      <c r="BA48" s="544" t="s">
        <v>39</v>
      </c>
      <c r="BB48" s="638" t="s">
        <v>181</v>
      </c>
      <c r="BC48" s="639"/>
      <c r="BD48" s="639"/>
      <c r="BE48" s="639"/>
      <c r="BF48" s="639"/>
      <c r="BG48" s="639"/>
      <c r="BH48" s="640"/>
    </row>
    <row r="49" spans="1:60">
      <c r="A49" s="643"/>
      <c r="B49" s="648" t="s">
        <v>156</v>
      </c>
      <c r="C49" s="649"/>
      <c r="D49" s="648" t="s">
        <v>174</v>
      </c>
      <c r="E49" s="649"/>
      <c r="F49" s="648" t="s">
        <v>160</v>
      </c>
      <c r="G49" s="650"/>
      <c r="H49" s="649"/>
      <c r="N49" s="641"/>
      <c r="O49" s="35" t="s">
        <v>156</v>
      </c>
      <c r="P49" s="60"/>
      <c r="Q49" s="35" t="s">
        <v>174</v>
      </c>
      <c r="R49" s="60"/>
      <c r="S49" s="35" t="s">
        <v>160</v>
      </c>
      <c r="T49" s="61"/>
      <c r="U49" s="60"/>
      <c r="AA49" s="641"/>
      <c r="AB49" s="550" t="s">
        <v>156</v>
      </c>
      <c r="AC49" s="551"/>
      <c r="AD49" s="550" t="s">
        <v>174</v>
      </c>
      <c r="AE49" s="551"/>
      <c r="AF49" s="550" t="s">
        <v>160</v>
      </c>
      <c r="AG49" s="552"/>
      <c r="AH49" s="551"/>
      <c r="AN49" s="641"/>
      <c r="AO49" s="550" t="s">
        <v>156</v>
      </c>
      <c r="AP49" s="551"/>
      <c r="AQ49" s="550" t="s">
        <v>174</v>
      </c>
      <c r="AR49" s="551"/>
      <c r="AS49" s="550" t="s">
        <v>160</v>
      </c>
      <c r="AT49" s="552"/>
      <c r="AU49" s="551"/>
      <c r="BA49" s="641"/>
      <c r="BB49" s="550" t="s">
        <v>156</v>
      </c>
      <c r="BC49" s="551"/>
      <c r="BD49" s="550" t="s">
        <v>174</v>
      </c>
      <c r="BE49" s="551"/>
      <c r="BF49" s="550" t="s">
        <v>160</v>
      </c>
      <c r="BG49" s="552"/>
      <c r="BH49" s="551"/>
    </row>
    <row r="50" spans="1:60" ht="17.5" thickBot="1">
      <c r="A50" s="644"/>
      <c r="B50" s="50" t="s">
        <v>40</v>
      </c>
      <c r="C50" s="50" t="s">
        <v>41</v>
      </c>
      <c r="D50" s="50" t="s">
        <v>40</v>
      </c>
      <c r="E50" s="50" t="s">
        <v>41</v>
      </c>
      <c r="F50" s="50" t="s">
        <v>40</v>
      </c>
      <c r="G50" s="50" t="s">
        <v>41</v>
      </c>
      <c r="H50" s="50" t="s">
        <v>21</v>
      </c>
      <c r="N50" s="546"/>
      <c r="O50" s="36" t="s">
        <v>40</v>
      </c>
      <c r="P50" s="36" t="s">
        <v>41</v>
      </c>
      <c r="Q50" s="36" t="s">
        <v>40</v>
      </c>
      <c r="R50" s="36" t="s">
        <v>41</v>
      </c>
      <c r="S50" s="36" t="s">
        <v>40</v>
      </c>
      <c r="T50" s="36" t="s">
        <v>41</v>
      </c>
      <c r="U50" s="36" t="s">
        <v>21</v>
      </c>
      <c r="AA50" s="546"/>
      <c r="AB50" s="36" t="s">
        <v>40</v>
      </c>
      <c r="AC50" s="36" t="s">
        <v>41</v>
      </c>
      <c r="AD50" s="36" t="s">
        <v>40</v>
      </c>
      <c r="AE50" s="36" t="s">
        <v>41</v>
      </c>
      <c r="AF50" s="36" t="s">
        <v>40</v>
      </c>
      <c r="AG50" s="36" t="s">
        <v>41</v>
      </c>
      <c r="AH50" s="36" t="s">
        <v>21</v>
      </c>
      <c r="AN50" s="546"/>
      <c r="AO50" s="36" t="s">
        <v>40</v>
      </c>
      <c r="AP50" s="36" t="s">
        <v>41</v>
      </c>
      <c r="AQ50" s="36" t="s">
        <v>40</v>
      </c>
      <c r="AR50" s="36" t="s">
        <v>41</v>
      </c>
      <c r="AS50" s="36" t="s">
        <v>40</v>
      </c>
      <c r="AT50" s="36" t="s">
        <v>41</v>
      </c>
      <c r="AU50" s="36" t="s">
        <v>21</v>
      </c>
      <c r="BA50" s="546"/>
      <c r="BB50" s="36" t="s">
        <v>40</v>
      </c>
      <c r="BC50" s="36" t="s">
        <v>41</v>
      </c>
      <c r="BD50" s="36" t="s">
        <v>40</v>
      </c>
      <c r="BE50" s="36" t="s">
        <v>41</v>
      </c>
      <c r="BF50" s="36" t="s">
        <v>40</v>
      </c>
      <c r="BG50" s="36" t="s">
        <v>41</v>
      </c>
      <c r="BH50" s="36" t="s">
        <v>21</v>
      </c>
    </row>
    <row r="51" spans="1:60" ht="17.5" thickTop="1">
      <c r="A51" s="38" t="s">
        <v>161</v>
      </c>
      <c r="B51" s="44" t="s">
        <v>22</v>
      </c>
      <c r="C51" s="44">
        <v>31</v>
      </c>
      <c r="D51" s="44">
        <v>5</v>
      </c>
      <c r="E51" s="44">
        <v>5</v>
      </c>
      <c r="F51" s="44">
        <v>5</v>
      </c>
      <c r="G51" s="44">
        <v>36</v>
      </c>
      <c r="H51" s="44">
        <v>41</v>
      </c>
      <c r="N51" s="38" t="s">
        <v>161</v>
      </c>
      <c r="O51" s="44" t="s">
        <v>22</v>
      </c>
      <c r="P51" s="44">
        <v>31</v>
      </c>
      <c r="Q51" s="44">
        <v>5</v>
      </c>
      <c r="R51" s="44">
        <v>5</v>
      </c>
      <c r="S51" s="44">
        <v>5</v>
      </c>
      <c r="T51" s="44">
        <v>36</v>
      </c>
      <c r="U51" s="44">
        <v>41</v>
      </c>
      <c r="AA51" s="38" t="s">
        <v>161</v>
      </c>
      <c r="AB51" s="44" t="s">
        <v>22</v>
      </c>
      <c r="AC51" s="44">
        <v>26</v>
      </c>
      <c r="AD51" s="44">
        <v>4</v>
      </c>
      <c r="AE51" s="44">
        <v>4</v>
      </c>
      <c r="AF51" s="44">
        <v>4</v>
      </c>
      <c r="AG51" s="44">
        <v>30</v>
      </c>
      <c r="AH51" s="44">
        <v>34</v>
      </c>
      <c r="AN51" s="38" t="s">
        <v>161</v>
      </c>
      <c r="AO51" s="44" t="s">
        <v>22</v>
      </c>
      <c r="AP51" s="44">
        <v>26</v>
      </c>
      <c r="AQ51" s="44">
        <v>4</v>
      </c>
      <c r="AR51" s="44">
        <v>4</v>
      </c>
      <c r="AS51" s="44">
        <v>4</v>
      </c>
      <c r="AT51" s="44">
        <v>30</v>
      </c>
      <c r="AU51" s="44">
        <v>34</v>
      </c>
      <c r="BA51" s="38" t="s">
        <v>161</v>
      </c>
      <c r="BB51" s="44">
        <v>0</v>
      </c>
      <c r="BC51" s="44">
        <v>4</v>
      </c>
      <c r="BD51" s="44">
        <v>0</v>
      </c>
      <c r="BE51" s="44">
        <v>0</v>
      </c>
      <c r="BF51" s="44">
        <v>0</v>
      </c>
      <c r="BG51" s="44">
        <v>4</v>
      </c>
      <c r="BH51" s="44">
        <v>4</v>
      </c>
    </row>
    <row r="52" spans="1:60" ht="32">
      <c r="A52" s="40" t="s">
        <v>55</v>
      </c>
      <c r="B52" s="46">
        <v>1</v>
      </c>
      <c r="C52" s="46">
        <v>105</v>
      </c>
      <c r="D52" s="46">
        <v>16</v>
      </c>
      <c r="E52" s="46">
        <v>16</v>
      </c>
      <c r="F52" s="46">
        <v>17</v>
      </c>
      <c r="G52" s="46">
        <v>121</v>
      </c>
      <c r="H52" s="46">
        <v>138</v>
      </c>
      <c r="N52" s="40" t="s">
        <v>55</v>
      </c>
      <c r="O52" s="46">
        <v>1</v>
      </c>
      <c r="P52" s="46">
        <v>104</v>
      </c>
      <c r="Q52" s="46">
        <v>16</v>
      </c>
      <c r="R52" s="46">
        <v>16</v>
      </c>
      <c r="S52" s="46">
        <v>17</v>
      </c>
      <c r="T52" s="46">
        <v>120</v>
      </c>
      <c r="U52" s="46">
        <v>137</v>
      </c>
      <c r="AA52" s="40" t="s">
        <v>55</v>
      </c>
      <c r="AB52" s="46">
        <v>1</v>
      </c>
      <c r="AC52" s="46">
        <v>85</v>
      </c>
      <c r="AD52" s="46">
        <v>12</v>
      </c>
      <c r="AE52" s="46">
        <v>12</v>
      </c>
      <c r="AF52" s="46">
        <v>13</v>
      </c>
      <c r="AG52" s="46">
        <v>97</v>
      </c>
      <c r="AH52" s="46">
        <v>110</v>
      </c>
      <c r="AN52" s="40" t="s">
        <v>55</v>
      </c>
      <c r="AO52" s="46">
        <v>1</v>
      </c>
      <c r="AP52" s="46">
        <v>87</v>
      </c>
      <c r="AQ52" s="46">
        <v>14</v>
      </c>
      <c r="AR52" s="46">
        <v>14</v>
      </c>
      <c r="AS52" s="46">
        <v>15</v>
      </c>
      <c r="AT52" s="46">
        <v>101</v>
      </c>
      <c r="AU52" s="46">
        <v>116</v>
      </c>
      <c r="BA52" s="40" t="s">
        <v>55</v>
      </c>
      <c r="BB52" s="46">
        <v>0</v>
      </c>
      <c r="BC52" s="46">
        <v>10</v>
      </c>
      <c r="BD52" s="46">
        <v>2</v>
      </c>
      <c r="BE52" s="46">
        <v>2</v>
      </c>
      <c r="BF52" s="46">
        <v>2</v>
      </c>
      <c r="BG52" s="46">
        <v>12</v>
      </c>
      <c r="BH52" s="46">
        <v>14</v>
      </c>
    </row>
    <row r="53" spans="1:60" ht="32">
      <c r="A53" s="40" t="s">
        <v>56</v>
      </c>
      <c r="B53" s="46">
        <v>6</v>
      </c>
      <c r="C53" s="46">
        <v>136</v>
      </c>
      <c r="D53" s="46">
        <v>22</v>
      </c>
      <c r="E53" s="46">
        <v>22</v>
      </c>
      <c r="F53" s="46">
        <v>28</v>
      </c>
      <c r="G53" s="46">
        <v>158</v>
      </c>
      <c r="H53" s="46">
        <v>186</v>
      </c>
      <c r="N53" s="40" t="s">
        <v>56</v>
      </c>
      <c r="O53" s="46">
        <v>6</v>
      </c>
      <c r="P53" s="46">
        <v>136</v>
      </c>
      <c r="Q53" s="46">
        <v>22</v>
      </c>
      <c r="R53" s="46">
        <v>22</v>
      </c>
      <c r="S53" s="46">
        <v>28</v>
      </c>
      <c r="T53" s="46">
        <v>158</v>
      </c>
      <c r="U53" s="46">
        <v>186</v>
      </c>
      <c r="AA53" s="40" t="s">
        <v>56</v>
      </c>
      <c r="AB53" s="46">
        <v>5</v>
      </c>
      <c r="AC53" s="46">
        <v>111</v>
      </c>
      <c r="AD53" s="46">
        <v>17</v>
      </c>
      <c r="AE53" s="46">
        <v>17</v>
      </c>
      <c r="AF53" s="46">
        <v>22</v>
      </c>
      <c r="AG53" s="46">
        <v>128</v>
      </c>
      <c r="AH53" s="46">
        <v>150</v>
      </c>
      <c r="AN53" s="40" t="s">
        <v>56</v>
      </c>
      <c r="AO53" s="46">
        <v>5</v>
      </c>
      <c r="AP53" s="46">
        <v>112</v>
      </c>
      <c r="AQ53" s="46">
        <v>18</v>
      </c>
      <c r="AR53" s="46">
        <v>18</v>
      </c>
      <c r="AS53" s="46">
        <v>23</v>
      </c>
      <c r="AT53" s="46">
        <v>130</v>
      </c>
      <c r="AU53" s="46">
        <v>153</v>
      </c>
      <c r="BA53" s="40" t="s">
        <v>56</v>
      </c>
      <c r="BB53" s="46">
        <v>0</v>
      </c>
      <c r="BC53" s="46">
        <v>12</v>
      </c>
      <c r="BD53" s="46">
        <v>2</v>
      </c>
      <c r="BE53" s="46">
        <v>2</v>
      </c>
      <c r="BF53" s="46">
        <v>2</v>
      </c>
      <c r="BG53" s="46">
        <v>14</v>
      </c>
      <c r="BH53" s="46">
        <v>16</v>
      </c>
    </row>
    <row r="54" spans="1:60" ht="32">
      <c r="A54" s="40" t="s">
        <v>57</v>
      </c>
      <c r="B54" s="46">
        <v>13</v>
      </c>
      <c r="C54" s="46">
        <v>47</v>
      </c>
      <c r="D54" s="46">
        <v>8</v>
      </c>
      <c r="E54" s="46">
        <v>8</v>
      </c>
      <c r="F54" s="46">
        <v>21</v>
      </c>
      <c r="G54" s="46">
        <v>55</v>
      </c>
      <c r="H54" s="46">
        <v>76</v>
      </c>
      <c r="N54" s="40" t="s">
        <v>57</v>
      </c>
      <c r="O54" s="46">
        <v>12</v>
      </c>
      <c r="P54" s="46">
        <v>46</v>
      </c>
      <c r="Q54" s="46">
        <v>8</v>
      </c>
      <c r="R54" s="46">
        <v>8</v>
      </c>
      <c r="S54" s="46">
        <v>20</v>
      </c>
      <c r="T54" s="46">
        <v>54</v>
      </c>
      <c r="U54" s="46">
        <v>74</v>
      </c>
      <c r="AA54" s="40" t="s">
        <v>57</v>
      </c>
      <c r="AB54" s="46">
        <v>10</v>
      </c>
      <c r="AC54" s="46">
        <v>38</v>
      </c>
      <c r="AD54" s="46">
        <v>7</v>
      </c>
      <c r="AE54" s="46">
        <v>7</v>
      </c>
      <c r="AF54" s="46">
        <v>17</v>
      </c>
      <c r="AG54" s="46">
        <v>45</v>
      </c>
      <c r="AH54" s="46">
        <v>62</v>
      </c>
      <c r="AN54" s="40" t="s">
        <v>57</v>
      </c>
      <c r="AO54" s="46">
        <v>10</v>
      </c>
      <c r="AP54" s="46">
        <v>38</v>
      </c>
      <c r="AQ54" s="46">
        <v>7</v>
      </c>
      <c r="AR54" s="46">
        <v>7</v>
      </c>
      <c r="AS54" s="46">
        <v>17</v>
      </c>
      <c r="AT54" s="46">
        <v>45</v>
      </c>
      <c r="AU54" s="46">
        <v>62</v>
      </c>
      <c r="BA54" s="40" t="s">
        <v>57</v>
      </c>
      <c r="BB54" s="46">
        <v>2</v>
      </c>
      <c r="BC54" s="46">
        <v>2</v>
      </c>
      <c r="BD54" s="46">
        <v>0</v>
      </c>
      <c r="BE54" s="46">
        <v>0</v>
      </c>
      <c r="BF54" s="46">
        <v>2</v>
      </c>
      <c r="BG54" s="46">
        <v>2</v>
      </c>
      <c r="BH54" s="46">
        <v>4</v>
      </c>
    </row>
    <row r="55" spans="1:60" ht="32">
      <c r="A55" s="40" t="s">
        <v>58</v>
      </c>
      <c r="B55" s="46">
        <v>22</v>
      </c>
      <c r="C55" s="46">
        <v>32</v>
      </c>
      <c r="D55" s="46">
        <v>7</v>
      </c>
      <c r="E55" s="46">
        <v>7</v>
      </c>
      <c r="F55" s="46">
        <v>29</v>
      </c>
      <c r="G55" s="46">
        <v>39</v>
      </c>
      <c r="H55" s="46">
        <v>68</v>
      </c>
      <c r="N55" s="40" t="s">
        <v>58</v>
      </c>
      <c r="O55" s="46">
        <v>22</v>
      </c>
      <c r="P55" s="46">
        <v>32</v>
      </c>
      <c r="Q55" s="46">
        <v>7</v>
      </c>
      <c r="R55" s="46">
        <v>7</v>
      </c>
      <c r="S55" s="46">
        <v>29</v>
      </c>
      <c r="T55" s="46">
        <v>39</v>
      </c>
      <c r="U55" s="46">
        <v>68</v>
      </c>
      <c r="AA55" s="40" t="s">
        <v>58</v>
      </c>
      <c r="AB55" s="46">
        <v>18</v>
      </c>
      <c r="AC55" s="46">
        <v>26</v>
      </c>
      <c r="AD55" s="46">
        <v>6</v>
      </c>
      <c r="AE55" s="46">
        <v>6</v>
      </c>
      <c r="AF55" s="46">
        <v>24</v>
      </c>
      <c r="AG55" s="46">
        <v>32</v>
      </c>
      <c r="AH55" s="46">
        <v>56</v>
      </c>
      <c r="AN55" s="40" t="s">
        <v>58</v>
      </c>
      <c r="AO55" s="46">
        <v>19</v>
      </c>
      <c r="AP55" s="46">
        <v>27</v>
      </c>
      <c r="AQ55" s="46">
        <v>6</v>
      </c>
      <c r="AR55" s="46">
        <v>6</v>
      </c>
      <c r="AS55" s="46">
        <v>25</v>
      </c>
      <c r="AT55" s="46">
        <v>33</v>
      </c>
      <c r="AU55" s="46">
        <v>58</v>
      </c>
      <c r="BA55" s="40" t="s">
        <v>58</v>
      </c>
      <c r="BB55" s="46">
        <v>2</v>
      </c>
      <c r="BC55" s="46">
        <v>4</v>
      </c>
      <c r="BD55" s="46">
        <v>0</v>
      </c>
      <c r="BE55" s="46">
        <v>0</v>
      </c>
      <c r="BF55" s="46">
        <v>2</v>
      </c>
      <c r="BG55" s="46">
        <v>4</v>
      </c>
      <c r="BH55" s="46">
        <v>6</v>
      </c>
    </row>
    <row r="56" spans="1:60" ht="32">
      <c r="A56" s="40" t="s">
        <v>59</v>
      </c>
      <c r="B56" s="46">
        <v>26</v>
      </c>
      <c r="C56" s="46">
        <v>29</v>
      </c>
      <c r="D56" s="46">
        <v>7</v>
      </c>
      <c r="E56" s="46">
        <v>7</v>
      </c>
      <c r="F56" s="46">
        <v>33</v>
      </c>
      <c r="G56" s="46">
        <v>36</v>
      </c>
      <c r="H56" s="46">
        <v>69</v>
      </c>
      <c r="N56" s="40" t="s">
        <v>59</v>
      </c>
      <c r="O56" s="46">
        <v>25</v>
      </c>
      <c r="P56" s="46">
        <v>28</v>
      </c>
      <c r="Q56" s="46">
        <v>7</v>
      </c>
      <c r="R56" s="46">
        <v>7</v>
      </c>
      <c r="S56" s="46">
        <v>32</v>
      </c>
      <c r="T56" s="46">
        <v>35</v>
      </c>
      <c r="U56" s="46">
        <v>67</v>
      </c>
      <c r="AA56" s="40" t="s">
        <v>59</v>
      </c>
      <c r="AB56" s="46">
        <v>21</v>
      </c>
      <c r="AC56" s="46">
        <v>23</v>
      </c>
      <c r="AD56" s="46">
        <v>6</v>
      </c>
      <c r="AE56" s="46">
        <v>6</v>
      </c>
      <c r="AF56" s="46">
        <v>27</v>
      </c>
      <c r="AG56" s="46">
        <v>29</v>
      </c>
      <c r="AH56" s="46">
        <v>56</v>
      </c>
      <c r="AN56" s="40" t="s">
        <v>59</v>
      </c>
      <c r="AO56" s="46">
        <v>21</v>
      </c>
      <c r="AP56" s="46">
        <v>24</v>
      </c>
      <c r="AQ56" s="46">
        <v>6</v>
      </c>
      <c r="AR56" s="46">
        <v>6</v>
      </c>
      <c r="AS56" s="46">
        <v>27</v>
      </c>
      <c r="AT56" s="46">
        <v>30</v>
      </c>
      <c r="AU56" s="46">
        <v>57</v>
      </c>
      <c r="BA56" s="40" t="s">
        <v>59</v>
      </c>
      <c r="BB56" s="46">
        <v>2</v>
      </c>
      <c r="BC56" s="46">
        <v>2</v>
      </c>
      <c r="BD56" s="46">
        <v>0</v>
      </c>
      <c r="BE56" s="46">
        <v>0</v>
      </c>
      <c r="BF56" s="46">
        <v>2</v>
      </c>
      <c r="BG56" s="46">
        <v>2</v>
      </c>
      <c r="BH56" s="46">
        <v>4</v>
      </c>
    </row>
    <row r="57" spans="1:60" ht="32">
      <c r="A57" s="40" t="s">
        <v>60</v>
      </c>
      <c r="B57" s="46">
        <v>27</v>
      </c>
      <c r="C57" s="46">
        <v>29</v>
      </c>
      <c r="D57" s="46">
        <v>7</v>
      </c>
      <c r="E57" s="46">
        <v>7</v>
      </c>
      <c r="F57" s="46">
        <v>34</v>
      </c>
      <c r="G57" s="46">
        <v>36</v>
      </c>
      <c r="H57" s="46">
        <v>70</v>
      </c>
      <c r="N57" s="40" t="s">
        <v>60</v>
      </c>
      <c r="O57" s="46">
        <v>27</v>
      </c>
      <c r="P57" s="46">
        <v>29</v>
      </c>
      <c r="Q57" s="46">
        <v>7</v>
      </c>
      <c r="R57" s="46">
        <v>7</v>
      </c>
      <c r="S57" s="46">
        <v>34</v>
      </c>
      <c r="T57" s="46">
        <v>36</v>
      </c>
      <c r="U57" s="46">
        <v>70</v>
      </c>
      <c r="AA57" s="40" t="s">
        <v>60</v>
      </c>
      <c r="AB57" s="46">
        <v>22</v>
      </c>
      <c r="AC57" s="46">
        <v>23</v>
      </c>
      <c r="AD57" s="46">
        <v>6</v>
      </c>
      <c r="AE57" s="46">
        <v>6</v>
      </c>
      <c r="AF57" s="46">
        <v>28</v>
      </c>
      <c r="AG57" s="46">
        <v>29</v>
      </c>
      <c r="AH57" s="46">
        <v>57</v>
      </c>
      <c r="AN57" s="40" t="s">
        <v>60</v>
      </c>
      <c r="AO57" s="46">
        <v>22</v>
      </c>
      <c r="AP57" s="46">
        <v>24</v>
      </c>
      <c r="AQ57" s="46">
        <v>6</v>
      </c>
      <c r="AR57" s="46">
        <v>6</v>
      </c>
      <c r="AS57" s="46">
        <v>28</v>
      </c>
      <c r="AT57" s="46">
        <v>30</v>
      </c>
      <c r="AU57" s="46">
        <v>58</v>
      </c>
      <c r="BA57" s="40" t="s">
        <v>60</v>
      </c>
      <c r="BB57" s="46">
        <v>2</v>
      </c>
      <c r="BC57" s="46">
        <v>4</v>
      </c>
      <c r="BD57" s="46">
        <v>0</v>
      </c>
      <c r="BE57" s="46">
        <v>0</v>
      </c>
      <c r="BF57" s="46">
        <v>2</v>
      </c>
      <c r="BG57" s="46">
        <v>4</v>
      </c>
      <c r="BH57" s="46">
        <v>6</v>
      </c>
    </row>
    <row r="58" spans="1:60" ht="32">
      <c r="A58" s="40" t="s">
        <v>61</v>
      </c>
      <c r="B58" s="46">
        <v>33</v>
      </c>
      <c r="C58" s="46">
        <v>32</v>
      </c>
      <c r="D58" s="46">
        <v>9</v>
      </c>
      <c r="E58" s="46">
        <v>9</v>
      </c>
      <c r="F58" s="46">
        <v>42</v>
      </c>
      <c r="G58" s="46">
        <v>41</v>
      </c>
      <c r="H58" s="46">
        <v>83</v>
      </c>
      <c r="N58" s="40" t="s">
        <v>61</v>
      </c>
      <c r="O58" s="46">
        <v>33</v>
      </c>
      <c r="P58" s="46">
        <v>32</v>
      </c>
      <c r="Q58" s="46">
        <v>9</v>
      </c>
      <c r="R58" s="46">
        <v>9</v>
      </c>
      <c r="S58" s="46">
        <v>42</v>
      </c>
      <c r="T58" s="46">
        <v>41</v>
      </c>
      <c r="U58" s="46">
        <v>83</v>
      </c>
      <c r="AA58" s="40" t="s">
        <v>61</v>
      </c>
      <c r="AB58" s="46">
        <v>27</v>
      </c>
      <c r="AC58" s="46">
        <v>26</v>
      </c>
      <c r="AD58" s="46">
        <v>7</v>
      </c>
      <c r="AE58" s="46">
        <v>7</v>
      </c>
      <c r="AF58" s="46">
        <v>34</v>
      </c>
      <c r="AG58" s="46">
        <v>33</v>
      </c>
      <c r="AH58" s="46">
        <v>67</v>
      </c>
      <c r="AN58" s="40" t="s">
        <v>61</v>
      </c>
      <c r="AO58" s="46">
        <v>28</v>
      </c>
      <c r="AP58" s="46">
        <v>27</v>
      </c>
      <c r="AQ58" s="46">
        <v>7</v>
      </c>
      <c r="AR58" s="46">
        <v>7</v>
      </c>
      <c r="AS58" s="46">
        <v>35</v>
      </c>
      <c r="AT58" s="46">
        <v>34</v>
      </c>
      <c r="AU58" s="46">
        <v>69</v>
      </c>
      <c r="BA58" s="40" t="s">
        <v>61</v>
      </c>
      <c r="BB58" s="46">
        <v>2</v>
      </c>
      <c r="BC58" s="46">
        <v>4</v>
      </c>
      <c r="BD58" s="46">
        <v>0</v>
      </c>
      <c r="BE58" s="46">
        <v>0</v>
      </c>
      <c r="BF58" s="46">
        <v>2</v>
      </c>
      <c r="BG58" s="46">
        <v>4</v>
      </c>
      <c r="BH58" s="46">
        <v>6</v>
      </c>
    </row>
    <row r="59" spans="1:60" ht="32">
      <c r="A59" s="40" t="s">
        <v>62</v>
      </c>
      <c r="B59" s="46">
        <v>37</v>
      </c>
      <c r="C59" s="46">
        <v>33</v>
      </c>
      <c r="D59" s="46">
        <v>10</v>
      </c>
      <c r="E59" s="46">
        <v>10</v>
      </c>
      <c r="F59" s="46">
        <v>47</v>
      </c>
      <c r="G59" s="46">
        <v>43</v>
      </c>
      <c r="H59" s="46">
        <v>90</v>
      </c>
      <c r="N59" s="40" t="s">
        <v>62</v>
      </c>
      <c r="O59" s="46">
        <v>37</v>
      </c>
      <c r="P59" s="46">
        <v>33</v>
      </c>
      <c r="Q59" s="46">
        <v>9</v>
      </c>
      <c r="R59" s="46">
        <v>9</v>
      </c>
      <c r="S59" s="46">
        <v>46</v>
      </c>
      <c r="T59" s="46">
        <v>42</v>
      </c>
      <c r="U59" s="46">
        <v>88</v>
      </c>
      <c r="AA59" s="40" t="s">
        <v>62</v>
      </c>
      <c r="AB59" s="46">
        <v>30</v>
      </c>
      <c r="AC59" s="46">
        <v>27</v>
      </c>
      <c r="AD59" s="46">
        <v>8</v>
      </c>
      <c r="AE59" s="46">
        <v>8</v>
      </c>
      <c r="AF59" s="46">
        <v>38</v>
      </c>
      <c r="AG59" s="46">
        <v>35</v>
      </c>
      <c r="AH59" s="46">
        <v>73</v>
      </c>
      <c r="AN59" s="40" t="s">
        <v>62</v>
      </c>
      <c r="AO59" s="46">
        <v>31</v>
      </c>
      <c r="AP59" s="46">
        <v>27</v>
      </c>
      <c r="AQ59" s="46">
        <v>8</v>
      </c>
      <c r="AR59" s="46">
        <v>8</v>
      </c>
      <c r="AS59" s="46">
        <v>39</v>
      </c>
      <c r="AT59" s="46">
        <v>35</v>
      </c>
      <c r="AU59" s="46">
        <v>74</v>
      </c>
      <c r="BA59" s="40" t="s">
        <v>62</v>
      </c>
      <c r="BB59" s="46">
        <v>4</v>
      </c>
      <c r="BC59" s="46">
        <v>4</v>
      </c>
      <c r="BD59" s="46">
        <v>0</v>
      </c>
      <c r="BE59" s="46">
        <v>0</v>
      </c>
      <c r="BF59" s="46">
        <v>4</v>
      </c>
      <c r="BG59" s="46">
        <v>4</v>
      </c>
      <c r="BH59" s="46">
        <v>8</v>
      </c>
    </row>
    <row r="60" spans="1:60" ht="32">
      <c r="A60" s="40" t="s">
        <v>63</v>
      </c>
      <c r="B60" s="46">
        <v>38</v>
      </c>
      <c r="C60" s="46">
        <v>32</v>
      </c>
      <c r="D60" s="46">
        <v>10</v>
      </c>
      <c r="E60" s="46">
        <v>10</v>
      </c>
      <c r="F60" s="46">
        <v>48</v>
      </c>
      <c r="G60" s="46">
        <v>42</v>
      </c>
      <c r="H60" s="46">
        <v>90</v>
      </c>
      <c r="N60" s="40" t="s">
        <v>63</v>
      </c>
      <c r="O60" s="46">
        <v>38</v>
      </c>
      <c r="P60" s="46">
        <v>31</v>
      </c>
      <c r="Q60" s="46">
        <v>9</v>
      </c>
      <c r="R60" s="46">
        <v>9</v>
      </c>
      <c r="S60" s="46">
        <v>47</v>
      </c>
      <c r="T60" s="46">
        <v>40</v>
      </c>
      <c r="U60" s="46">
        <v>87</v>
      </c>
      <c r="AA60" s="40" t="s">
        <v>63</v>
      </c>
      <c r="AB60" s="46">
        <v>31</v>
      </c>
      <c r="AC60" s="46">
        <v>26</v>
      </c>
      <c r="AD60" s="46">
        <v>8</v>
      </c>
      <c r="AE60" s="46">
        <v>8</v>
      </c>
      <c r="AF60" s="46">
        <v>39</v>
      </c>
      <c r="AG60" s="46">
        <v>34</v>
      </c>
      <c r="AH60" s="46">
        <v>73</v>
      </c>
      <c r="AN60" s="40" t="s">
        <v>63</v>
      </c>
      <c r="AO60" s="46">
        <v>31</v>
      </c>
      <c r="AP60" s="46">
        <v>26</v>
      </c>
      <c r="AQ60" s="46">
        <v>8</v>
      </c>
      <c r="AR60" s="46">
        <v>8</v>
      </c>
      <c r="AS60" s="46">
        <v>39</v>
      </c>
      <c r="AT60" s="46">
        <v>34</v>
      </c>
      <c r="AU60" s="46">
        <v>73</v>
      </c>
      <c r="BA60" s="40" t="s">
        <v>63</v>
      </c>
      <c r="BB60" s="46">
        <v>4</v>
      </c>
      <c r="BC60" s="46">
        <v>4</v>
      </c>
      <c r="BD60" s="46">
        <v>2</v>
      </c>
      <c r="BE60" s="46">
        <v>2</v>
      </c>
      <c r="BF60" s="46">
        <v>6</v>
      </c>
      <c r="BG60" s="46">
        <v>6</v>
      </c>
      <c r="BH60" s="46">
        <v>12</v>
      </c>
    </row>
    <row r="61" spans="1:60" ht="32">
      <c r="A61" s="40" t="s">
        <v>64</v>
      </c>
      <c r="B61" s="46">
        <v>42</v>
      </c>
      <c r="C61" s="46">
        <v>33</v>
      </c>
      <c r="D61" s="46">
        <v>10</v>
      </c>
      <c r="E61" s="46">
        <v>10</v>
      </c>
      <c r="F61" s="46">
        <v>52</v>
      </c>
      <c r="G61" s="46">
        <v>43</v>
      </c>
      <c r="H61" s="46">
        <v>95</v>
      </c>
      <c r="N61" s="40" t="s">
        <v>64</v>
      </c>
      <c r="O61" s="46">
        <v>43</v>
      </c>
      <c r="P61" s="46">
        <v>33</v>
      </c>
      <c r="Q61" s="46">
        <v>11</v>
      </c>
      <c r="R61" s="46">
        <v>11</v>
      </c>
      <c r="S61" s="46">
        <v>54</v>
      </c>
      <c r="T61" s="46">
        <v>44</v>
      </c>
      <c r="U61" s="46">
        <v>98</v>
      </c>
      <c r="AA61" s="40" t="s">
        <v>64</v>
      </c>
      <c r="AB61" s="46">
        <v>35</v>
      </c>
      <c r="AC61" s="46">
        <v>27</v>
      </c>
      <c r="AD61" s="46">
        <v>9</v>
      </c>
      <c r="AE61" s="46">
        <v>9</v>
      </c>
      <c r="AF61" s="46">
        <v>44</v>
      </c>
      <c r="AG61" s="46">
        <v>36</v>
      </c>
      <c r="AH61" s="46">
        <v>80</v>
      </c>
      <c r="AN61" s="40" t="s">
        <v>64</v>
      </c>
      <c r="AO61" s="46">
        <v>35</v>
      </c>
      <c r="AP61" s="46">
        <v>28</v>
      </c>
      <c r="AQ61" s="46">
        <v>9</v>
      </c>
      <c r="AR61" s="46">
        <v>9</v>
      </c>
      <c r="AS61" s="46">
        <v>44</v>
      </c>
      <c r="AT61" s="46">
        <v>37</v>
      </c>
      <c r="AU61" s="46">
        <v>81</v>
      </c>
      <c r="BA61" s="40" t="s">
        <v>64</v>
      </c>
      <c r="BB61" s="46">
        <v>4</v>
      </c>
      <c r="BC61" s="46">
        <v>4</v>
      </c>
      <c r="BD61" s="46">
        <v>2</v>
      </c>
      <c r="BE61" s="46">
        <v>2</v>
      </c>
      <c r="BF61" s="46">
        <v>6</v>
      </c>
      <c r="BG61" s="46">
        <v>6</v>
      </c>
      <c r="BH61" s="46">
        <v>12</v>
      </c>
    </row>
    <row r="62" spans="1:60" ht="32">
      <c r="A62" s="40" t="s">
        <v>65</v>
      </c>
      <c r="B62" s="46">
        <v>50</v>
      </c>
      <c r="C62" s="46">
        <v>32</v>
      </c>
      <c r="D62" s="46">
        <v>11</v>
      </c>
      <c r="E62" s="46">
        <v>11</v>
      </c>
      <c r="F62" s="46">
        <v>61</v>
      </c>
      <c r="G62" s="46">
        <v>43</v>
      </c>
      <c r="H62" s="46">
        <v>104</v>
      </c>
      <c r="N62" s="40" t="s">
        <v>65</v>
      </c>
      <c r="O62" s="46">
        <v>49</v>
      </c>
      <c r="P62" s="46">
        <v>31</v>
      </c>
      <c r="Q62" s="46">
        <v>11</v>
      </c>
      <c r="R62" s="46">
        <v>11</v>
      </c>
      <c r="S62" s="46">
        <v>60</v>
      </c>
      <c r="T62" s="46">
        <v>42</v>
      </c>
      <c r="U62" s="46">
        <v>102</v>
      </c>
      <c r="AA62" s="40" t="s">
        <v>65</v>
      </c>
      <c r="AB62" s="46">
        <v>40</v>
      </c>
      <c r="AC62" s="46">
        <v>26</v>
      </c>
      <c r="AD62" s="46">
        <v>9</v>
      </c>
      <c r="AE62" s="46">
        <v>9</v>
      </c>
      <c r="AF62" s="46">
        <v>49</v>
      </c>
      <c r="AG62" s="46">
        <v>35</v>
      </c>
      <c r="AH62" s="46">
        <v>84</v>
      </c>
      <c r="AN62" s="40" t="s">
        <v>65</v>
      </c>
      <c r="AO62" s="46">
        <v>41</v>
      </c>
      <c r="AP62" s="46">
        <v>27</v>
      </c>
      <c r="AQ62" s="46">
        <v>9</v>
      </c>
      <c r="AR62" s="46">
        <v>9</v>
      </c>
      <c r="AS62" s="46">
        <v>50</v>
      </c>
      <c r="AT62" s="46">
        <v>36</v>
      </c>
      <c r="AU62" s="46">
        <v>86</v>
      </c>
      <c r="BA62" s="40" t="s">
        <v>65</v>
      </c>
      <c r="BB62" s="46">
        <v>4</v>
      </c>
      <c r="BC62" s="46">
        <v>4</v>
      </c>
      <c r="BD62" s="46">
        <v>2</v>
      </c>
      <c r="BE62" s="46">
        <v>2</v>
      </c>
      <c r="BF62" s="46">
        <v>6</v>
      </c>
      <c r="BG62" s="46">
        <v>6</v>
      </c>
      <c r="BH62" s="46">
        <v>12</v>
      </c>
    </row>
    <row r="63" spans="1:60" ht="32">
      <c r="A63" s="40" t="s">
        <v>66</v>
      </c>
      <c r="B63" s="46">
        <v>98</v>
      </c>
      <c r="C63" s="46">
        <v>23</v>
      </c>
      <c r="D63" s="46">
        <v>18</v>
      </c>
      <c r="E63" s="46">
        <v>18</v>
      </c>
      <c r="F63" s="46">
        <v>116</v>
      </c>
      <c r="G63" s="46">
        <v>41</v>
      </c>
      <c r="H63" s="46">
        <v>157</v>
      </c>
      <c r="N63" s="40" t="s">
        <v>66</v>
      </c>
      <c r="O63" s="46">
        <v>97</v>
      </c>
      <c r="P63" s="46">
        <v>23</v>
      </c>
      <c r="Q63" s="46">
        <v>18</v>
      </c>
      <c r="R63" s="46">
        <v>18</v>
      </c>
      <c r="S63" s="46">
        <v>115</v>
      </c>
      <c r="T63" s="46">
        <v>41</v>
      </c>
      <c r="U63" s="46">
        <v>156</v>
      </c>
      <c r="AA63" s="40" t="s">
        <v>66</v>
      </c>
      <c r="AB63" s="46">
        <v>80</v>
      </c>
      <c r="AC63" s="46">
        <v>19</v>
      </c>
      <c r="AD63" s="46">
        <v>14</v>
      </c>
      <c r="AE63" s="46">
        <v>14</v>
      </c>
      <c r="AF63" s="46">
        <v>94</v>
      </c>
      <c r="AG63" s="46">
        <v>33</v>
      </c>
      <c r="AH63" s="46">
        <v>127</v>
      </c>
      <c r="AN63" s="40" t="s">
        <v>66</v>
      </c>
      <c r="AO63" s="46">
        <v>81</v>
      </c>
      <c r="AP63" s="46">
        <v>19</v>
      </c>
      <c r="AQ63" s="46">
        <v>15</v>
      </c>
      <c r="AR63" s="46">
        <v>15</v>
      </c>
      <c r="AS63" s="46">
        <v>96</v>
      </c>
      <c r="AT63" s="46">
        <v>34</v>
      </c>
      <c r="AU63" s="46">
        <v>130</v>
      </c>
      <c r="BA63" s="40" t="s">
        <v>66</v>
      </c>
      <c r="BB63" s="46">
        <v>12</v>
      </c>
      <c r="BC63" s="46">
        <v>2</v>
      </c>
      <c r="BD63" s="46">
        <v>2</v>
      </c>
      <c r="BE63" s="46">
        <v>2</v>
      </c>
      <c r="BF63" s="46">
        <v>14</v>
      </c>
      <c r="BG63" s="46">
        <v>4</v>
      </c>
      <c r="BH63" s="46">
        <v>18</v>
      </c>
    </row>
    <row r="64" spans="1:60" ht="32">
      <c r="A64" s="40" t="s">
        <v>67</v>
      </c>
      <c r="B64" s="46">
        <v>112</v>
      </c>
      <c r="C64" s="46">
        <v>18</v>
      </c>
      <c r="D64" s="46">
        <v>19</v>
      </c>
      <c r="E64" s="46">
        <v>19</v>
      </c>
      <c r="F64" s="46">
        <v>131</v>
      </c>
      <c r="G64" s="46">
        <v>37</v>
      </c>
      <c r="H64" s="46">
        <v>168</v>
      </c>
      <c r="N64" s="40" t="s">
        <v>67</v>
      </c>
      <c r="O64" s="46">
        <v>111</v>
      </c>
      <c r="P64" s="46">
        <v>18</v>
      </c>
      <c r="Q64" s="46">
        <v>19</v>
      </c>
      <c r="R64" s="46">
        <v>19</v>
      </c>
      <c r="S64" s="46">
        <v>130</v>
      </c>
      <c r="T64" s="46">
        <v>37</v>
      </c>
      <c r="U64" s="46">
        <v>167</v>
      </c>
      <c r="AA64" s="40" t="s">
        <v>67</v>
      </c>
      <c r="AB64" s="46">
        <v>91</v>
      </c>
      <c r="AC64" s="46">
        <v>15</v>
      </c>
      <c r="AD64" s="46">
        <v>15</v>
      </c>
      <c r="AE64" s="46">
        <v>15</v>
      </c>
      <c r="AF64" s="46">
        <v>106</v>
      </c>
      <c r="AG64" s="46">
        <v>30</v>
      </c>
      <c r="AH64" s="46">
        <v>136</v>
      </c>
      <c r="AN64" s="40" t="s">
        <v>67</v>
      </c>
      <c r="AO64" s="46">
        <v>93</v>
      </c>
      <c r="AP64" s="46">
        <v>15</v>
      </c>
      <c r="AQ64" s="46">
        <v>16</v>
      </c>
      <c r="AR64" s="46">
        <v>16</v>
      </c>
      <c r="AS64" s="46">
        <v>109</v>
      </c>
      <c r="AT64" s="46">
        <v>31</v>
      </c>
      <c r="AU64" s="46">
        <v>140</v>
      </c>
      <c r="BA64" s="40" t="s">
        <v>67</v>
      </c>
      <c r="BB64" s="46">
        <v>12</v>
      </c>
      <c r="BC64" s="46">
        <v>2</v>
      </c>
      <c r="BD64" s="46">
        <v>2</v>
      </c>
      <c r="BE64" s="46">
        <v>2</v>
      </c>
      <c r="BF64" s="46">
        <v>14</v>
      </c>
      <c r="BG64" s="46">
        <v>4</v>
      </c>
      <c r="BH64" s="46">
        <v>18</v>
      </c>
    </row>
    <row r="65" spans="1:60" ht="32">
      <c r="A65" s="40" t="s">
        <v>68</v>
      </c>
      <c r="B65" s="46">
        <v>83</v>
      </c>
      <c r="C65" s="46">
        <v>12</v>
      </c>
      <c r="D65" s="46">
        <v>13</v>
      </c>
      <c r="E65" s="46">
        <v>13</v>
      </c>
      <c r="F65" s="46">
        <v>96</v>
      </c>
      <c r="G65" s="46">
        <v>25</v>
      </c>
      <c r="H65" s="46">
        <v>121</v>
      </c>
      <c r="N65" s="40" t="s">
        <v>68</v>
      </c>
      <c r="O65" s="46">
        <v>82</v>
      </c>
      <c r="P65" s="46">
        <v>12</v>
      </c>
      <c r="Q65" s="46">
        <v>13</v>
      </c>
      <c r="R65" s="46">
        <v>13</v>
      </c>
      <c r="S65" s="46">
        <v>95</v>
      </c>
      <c r="T65" s="46">
        <v>25</v>
      </c>
      <c r="U65" s="46">
        <v>120</v>
      </c>
      <c r="AA65" s="40" t="s">
        <v>68</v>
      </c>
      <c r="AB65" s="46">
        <v>67</v>
      </c>
      <c r="AC65" s="46">
        <v>10</v>
      </c>
      <c r="AD65" s="46">
        <v>11</v>
      </c>
      <c r="AE65" s="46">
        <v>11</v>
      </c>
      <c r="AF65" s="46">
        <v>78</v>
      </c>
      <c r="AG65" s="46">
        <v>21</v>
      </c>
      <c r="AH65" s="46">
        <v>99</v>
      </c>
      <c r="AN65" s="40" t="s">
        <v>68</v>
      </c>
      <c r="AO65" s="46">
        <v>69</v>
      </c>
      <c r="AP65" s="46">
        <v>10</v>
      </c>
      <c r="AQ65" s="46">
        <v>11</v>
      </c>
      <c r="AR65" s="46">
        <v>11</v>
      </c>
      <c r="AS65" s="46">
        <v>80</v>
      </c>
      <c r="AT65" s="46">
        <v>21</v>
      </c>
      <c r="AU65" s="46">
        <v>101</v>
      </c>
      <c r="BA65" s="40" t="s">
        <v>68</v>
      </c>
      <c r="BB65" s="46">
        <v>10</v>
      </c>
      <c r="BC65" s="46">
        <v>2</v>
      </c>
      <c r="BD65" s="46">
        <v>2</v>
      </c>
      <c r="BE65" s="46">
        <v>2</v>
      </c>
      <c r="BF65" s="46">
        <v>12</v>
      </c>
      <c r="BG65" s="46">
        <v>4</v>
      </c>
      <c r="BH65" s="46">
        <v>16</v>
      </c>
    </row>
    <row r="66" spans="1:60">
      <c r="A66" s="40" t="s">
        <v>162</v>
      </c>
      <c r="B66" s="46">
        <v>41</v>
      </c>
      <c r="C66" s="46">
        <v>5</v>
      </c>
      <c r="D66" s="46">
        <v>6</v>
      </c>
      <c r="E66" s="46">
        <v>6</v>
      </c>
      <c r="F66" s="46">
        <v>47</v>
      </c>
      <c r="G66" s="46">
        <v>11</v>
      </c>
      <c r="H66" s="46">
        <v>58</v>
      </c>
      <c r="N66" s="40" t="s">
        <v>162</v>
      </c>
      <c r="O66" s="46">
        <v>41</v>
      </c>
      <c r="P66" s="46">
        <v>5</v>
      </c>
      <c r="Q66" s="46">
        <v>6</v>
      </c>
      <c r="R66" s="46">
        <v>6</v>
      </c>
      <c r="S66" s="46">
        <v>47</v>
      </c>
      <c r="T66" s="46">
        <v>11</v>
      </c>
      <c r="U66" s="46">
        <v>58</v>
      </c>
      <c r="AA66" s="40" t="s">
        <v>162</v>
      </c>
      <c r="AB66" s="46">
        <v>34</v>
      </c>
      <c r="AC66" s="46">
        <v>4</v>
      </c>
      <c r="AD66" s="46">
        <v>5</v>
      </c>
      <c r="AE66" s="46">
        <v>5</v>
      </c>
      <c r="AF66" s="46">
        <v>39</v>
      </c>
      <c r="AG66" s="46">
        <v>9</v>
      </c>
      <c r="AH66" s="46">
        <v>48</v>
      </c>
      <c r="AN66" s="40" t="s">
        <v>162</v>
      </c>
      <c r="AO66" s="46">
        <v>34</v>
      </c>
      <c r="AP66" s="46">
        <v>4</v>
      </c>
      <c r="AQ66" s="46">
        <v>5</v>
      </c>
      <c r="AR66" s="46">
        <v>5</v>
      </c>
      <c r="AS66" s="46">
        <v>39</v>
      </c>
      <c r="AT66" s="46">
        <v>9</v>
      </c>
      <c r="AU66" s="46">
        <v>48</v>
      </c>
      <c r="BA66" s="40" t="s">
        <v>162</v>
      </c>
      <c r="BB66" s="46">
        <v>4</v>
      </c>
      <c r="BC66" s="46">
        <v>0</v>
      </c>
      <c r="BD66" s="46">
        <v>2</v>
      </c>
      <c r="BE66" s="46">
        <v>2</v>
      </c>
      <c r="BF66" s="46">
        <v>6</v>
      </c>
      <c r="BG66" s="46">
        <v>2</v>
      </c>
      <c r="BH66" s="46">
        <v>8</v>
      </c>
    </row>
    <row r="67" spans="1:60" ht="17.5" thickBot="1">
      <c r="A67" s="42" t="s">
        <v>160</v>
      </c>
      <c r="B67" s="48">
        <v>629</v>
      </c>
      <c r="C67" s="48">
        <v>629</v>
      </c>
      <c r="D67" s="48">
        <v>178</v>
      </c>
      <c r="E67" s="48">
        <v>178</v>
      </c>
      <c r="F67" s="48">
        <v>807</v>
      </c>
      <c r="G67" s="48">
        <v>807</v>
      </c>
      <c r="H67" s="51">
        <v>1614</v>
      </c>
      <c r="N67" s="42" t="s">
        <v>160</v>
      </c>
      <c r="O67" s="48">
        <v>624</v>
      </c>
      <c r="P67" s="48">
        <v>624</v>
      </c>
      <c r="Q67" s="48">
        <v>177</v>
      </c>
      <c r="R67" s="48">
        <v>177</v>
      </c>
      <c r="S67" s="48">
        <v>801</v>
      </c>
      <c r="T67" s="48">
        <v>801</v>
      </c>
      <c r="U67" s="51">
        <v>1602</v>
      </c>
      <c r="AA67" s="42" t="s">
        <v>160</v>
      </c>
      <c r="AB67" s="48">
        <v>512</v>
      </c>
      <c r="AC67" s="48">
        <v>512</v>
      </c>
      <c r="AD67" s="48">
        <v>144</v>
      </c>
      <c r="AE67" s="48">
        <v>144</v>
      </c>
      <c r="AF67" s="48">
        <v>656</v>
      </c>
      <c r="AG67" s="48">
        <v>656</v>
      </c>
      <c r="AH67" s="51">
        <v>1312</v>
      </c>
      <c r="AN67" s="42" t="s">
        <v>160</v>
      </c>
      <c r="AO67" s="48">
        <v>521</v>
      </c>
      <c r="AP67" s="48">
        <v>521</v>
      </c>
      <c r="AQ67" s="48">
        <v>149</v>
      </c>
      <c r="AR67" s="48">
        <v>149</v>
      </c>
      <c r="AS67" s="48">
        <v>670</v>
      </c>
      <c r="AT67" s="48">
        <v>670</v>
      </c>
      <c r="AU67" s="51">
        <v>1340</v>
      </c>
      <c r="BA67" s="42" t="s">
        <v>160</v>
      </c>
      <c r="BB67" s="48">
        <v>64</v>
      </c>
      <c r="BC67" s="48">
        <v>64</v>
      </c>
      <c r="BD67" s="48">
        <v>18</v>
      </c>
      <c r="BE67" s="48">
        <v>18</v>
      </c>
      <c r="BF67" s="48">
        <v>82</v>
      </c>
      <c r="BG67" s="48">
        <v>82</v>
      </c>
      <c r="BH67" s="48">
        <v>164</v>
      </c>
    </row>
    <row r="68" spans="1:60" ht="17.5" thickTop="1"/>
    <row r="69" spans="1:60">
      <c r="B69">
        <f>B45/B67</f>
        <v>1.5866454689984102</v>
      </c>
      <c r="C69">
        <f>C45/C67</f>
        <v>1.5866454689984102</v>
      </c>
      <c r="D69">
        <f>D45/D67</f>
        <v>1.247191011235955</v>
      </c>
      <c r="E69">
        <f>E45/E67</f>
        <v>1.247191011235955</v>
      </c>
      <c r="O69">
        <f>O45/O67</f>
        <v>1.5897435897435896</v>
      </c>
      <c r="P69">
        <f>P45/P67</f>
        <v>1.5897435897435896</v>
      </c>
      <c r="Q69">
        <f>Q45/Q67</f>
        <v>1.2485875706214689</v>
      </c>
      <c r="R69">
        <f>R45/R67</f>
        <v>1.2485875706214689</v>
      </c>
      <c r="AB69">
        <f t="shared" ref="AB69:AE69" si="0">AB45/AB67</f>
        <v>1.587890625</v>
      </c>
      <c r="AC69">
        <f t="shared" si="0"/>
        <v>1.587890625</v>
      </c>
      <c r="AD69">
        <f t="shared" si="0"/>
        <v>1.2569444444444444</v>
      </c>
      <c r="AE69">
        <f t="shared" si="0"/>
        <v>1.2569444444444444</v>
      </c>
      <c r="AO69">
        <f t="shared" ref="AO69:AR69" si="1">AO45/AO67</f>
        <v>1.5911708253358925</v>
      </c>
      <c r="AP69">
        <f t="shared" si="1"/>
        <v>1.5911708253358925</v>
      </c>
      <c r="AQ69">
        <f t="shared" si="1"/>
        <v>1.2416107382550337</v>
      </c>
      <c r="AR69">
        <f t="shared" si="1"/>
        <v>1.2416107382550337</v>
      </c>
      <c r="BB69">
        <f t="shared" ref="BB69:BE69" si="2">BB45/BB67</f>
        <v>1.625</v>
      </c>
      <c r="BC69">
        <f t="shared" si="2"/>
        <v>1.625</v>
      </c>
      <c r="BD69">
        <f t="shared" si="2"/>
        <v>1.2222222222222223</v>
      </c>
      <c r="BE69">
        <f t="shared" si="2"/>
        <v>1.2222222222222223</v>
      </c>
    </row>
  </sheetData>
  <mergeCells count="80">
    <mergeCell ref="A4:A7"/>
    <mergeCell ref="B4:I4"/>
    <mergeCell ref="B5:G5"/>
    <mergeCell ref="H5:I6"/>
    <mergeCell ref="B6:C6"/>
    <mergeCell ref="D6:E6"/>
    <mergeCell ref="F6:G6"/>
    <mergeCell ref="L4:L7"/>
    <mergeCell ref="M4:T4"/>
    <mergeCell ref="M5:R5"/>
    <mergeCell ref="S5:T6"/>
    <mergeCell ref="M6:N6"/>
    <mergeCell ref="O6:P6"/>
    <mergeCell ref="Q6:R6"/>
    <mergeCell ref="AB12:AB13"/>
    <mergeCell ref="A26:A28"/>
    <mergeCell ref="B26:L26"/>
    <mergeCell ref="B27:C27"/>
    <mergeCell ref="D27:E27"/>
    <mergeCell ref="F27:G27"/>
    <mergeCell ref="H27:I27"/>
    <mergeCell ref="J27:L27"/>
    <mergeCell ref="AB4:AC5"/>
    <mergeCell ref="AD4:AE4"/>
    <mergeCell ref="AB6:AB7"/>
    <mergeCell ref="AB8:AB9"/>
    <mergeCell ref="AB10:AB11"/>
    <mergeCell ref="A48:A50"/>
    <mergeCell ref="B48:H48"/>
    <mergeCell ref="B49:C49"/>
    <mergeCell ref="D49:E49"/>
    <mergeCell ref="F49:H49"/>
    <mergeCell ref="N48:N50"/>
    <mergeCell ref="AB14:AB15"/>
    <mergeCell ref="AB16:AB17"/>
    <mergeCell ref="AB18:AB19"/>
    <mergeCell ref="AB20:AB21"/>
    <mergeCell ref="N26:N28"/>
    <mergeCell ref="O26:Y26"/>
    <mergeCell ref="O27:P27"/>
    <mergeCell ref="Q27:R27"/>
    <mergeCell ref="S27:T27"/>
    <mergeCell ref="U27:V27"/>
    <mergeCell ref="W27:Y27"/>
    <mergeCell ref="AA26:AA28"/>
    <mergeCell ref="AB26:AL26"/>
    <mergeCell ref="AB27:AC27"/>
    <mergeCell ref="AD27:AE27"/>
    <mergeCell ref="AF27:AG27"/>
    <mergeCell ref="AH27:AI27"/>
    <mergeCell ref="AJ27:AL27"/>
    <mergeCell ref="AN26:AN28"/>
    <mergeCell ref="AO26:AY26"/>
    <mergeCell ref="AO27:AP27"/>
    <mergeCell ref="AQ27:AR27"/>
    <mergeCell ref="AS27:AT27"/>
    <mergeCell ref="AU27:AV27"/>
    <mergeCell ref="AW27:AY27"/>
    <mergeCell ref="BA26:BA28"/>
    <mergeCell ref="BB26:BL26"/>
    <mergeCell ref="BB27:BC27"/>
    <mergeCell ref="BD27:BE27"/>
    <mergeCell ref="BF27:BG27"/>
    <mergeCell ref="BH27:BI27"/>
    <mergeCell ref="BJ27:BL27"/>
    <mergeCell ref="BB48:BH48"/>
    <mergeCell ref="BB49:BC49"/>
    <mergeCell ref="BD49:BE49"/>
    <mergeCell ref="BF49:BH49"/>
    <mergeCell ref="AA48:AA50"/>
    <mergeCell ref="AB48:AH48"/>
    <mergeCell ref="AB49:AC49"/>
    <mergeCell ref="AD49:AE49"/>
    <mergeCell ref="AF49:AH49"/>
    <mergeCell ref="AN48:AN50"/>
    <mergeCell ref="AO48:AU48"/>
    <mergeCell ref="AO49:AP49"/>
    <mergeCell ref="AQ49:AR49"/>
    <mergeCell ref="AS49:AU49"/>
    <mergeCell ref="BA48:BA50"/>
  </mergeCells>
  <phoneticPr fontId="2" type="noConversion"/>
  <pageMargins left="0.7" right="0.7" top="0.75" bottom="0.75" header="0.3" footer="0.3"/>
</worksheet>
</file>

<file path=xl/worksheets/sheet8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N108"/>
  <sheetViews>
    <sheetView zoomScale="70" zoomScaleNormal="70" workbookViewId="0">
      <selection activeCell="K22" sqref="K22"/>
    </sheetView>
  </sheetViews>
  <sheetFormatPr defaultRowHeight="17"/>
  <cols>
    <col min="11" max="11" width="41.5" bestFit="1" customWidth="1"/>
    <col min="15" max="15" width="11" bestFit="1" customWidth="1"/>
    <col min="16" max="16" width="10" bestFit="1" customWidth="1"/>
    <col min="17" max="17" width="9.08203125" bestFit="1" customWidth="1"/>
    <col min="22" max="22" width="11.5" bestFit="1" customWidth="1"/>
    <col min="25" max="25" width="20.58203125" bestFit="1" customWidth="1"/>
    <col min="31" max="31" width="11.75" bestFit="1" customWidth="1"/>
    <col min="32" max="32" width="11" bestFit="1" customWidth="1"/>
  </cols>
  <sheetData>
    <row r="1" spans="1:40">
      <c r="A1" t="s">
        <v>151</v>
      </c>
    </row>
    <row r="2" spans="1:40">
      <c r="A2" s="32" t="s">
        <v>149</v>
      </c>
      <c r="B2" s="32" t="s">
        <v>150</v>
      </c>
    </row>
    <row r="4" spans="1:40">
      <c r="A4" t="s">
        <v>0</v>
      </c>
      <c r="K4" t="s">
        <v>276</v>
      </c>
      <c r="M4" t="s">
        <v>257</v>
      </c>
      <c r="S4" t="s">
        <v>253</v>
      </c>
    </row>
    <row r="5" spans="1:40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</row>
    <row r="6" spans="1:40" ht="17.25" customHeight="1" thickTop="1" thickBot="1">
      <c r="A6" s="576" t="s">
        <v>27</v>
      </c>
      <c r="B6" s="577"/>
      <c r="C6" s="1" t="s">
        <v>2</v>
      </c>
      <c r="D6" s="619" t="s">
        <v>5</v>
      </c>
      <c r="E6" s="577"/>
      <c r="F6" s="619" t="s">
        <v>7</v>
      </c>
      <c r="G6" s="620"/>
      <c r="H6" s="621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622" t="s">
        <v>251</v>
      </c>
      <c r="T6" s="623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344</v>
      </c>
      <c r="AG6" t="s">
        <v>345</v>
      </c>
      <c r="AL6" s="76" t="s">
        <v>346</v>
      </c>
      <c r="AN6" t="s">
        <v>245</v>
      </c>
    </row>
    <row r="7" spans="1:40" ht="18" thickTop="1" thickBot="1">
      <c r="A7" s="613"/>
      <c r="B7" s="614"/>
      <c r="C7" s="2" t="s">
        <v>3</v>
      </c>
      <c r="D7" s="624" t="s">
        <v>6</v>
      </c>
      <c r="E7" s="625"/>
      <c r="F7" s="624" t="s">
        <v>8</v>
      </c>
      <c r="G7" s="626"/>
      <c r="H7" s="627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628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6" t="s">
        <v>347</v>
      </c>
      <c r="AG7" s="577"/>
      <c r="AH7" s="1" t="s">
        <v>340</v>
      </c>
      <c r="AI7" s="615" t="s">
        <v>348</v>
      </c>
      <c r="AJ7" s="616"/>
      <c r="AK7" s="616"/>
      <c r="AL7" s="616"/>
      <c r="AM7" s="616"/>
      <c r="AN7" s="617"/>
    </row>
    <row r="8" spans="1:40" ht="18" thickTop="1" thickBot="1">
      <c r="A8" s="578"/>
      <c r="B8" s="579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29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613"/>
      <c r="AG8" s="614"/>
      <c r="AH8" s="2" t="s">
        <v>3</v>
      </c>
      <c r="AI8" s="608" t="s">
        <v>341</v>
      </c>
      <c r="AJ8" s="609"/>
      <c r="AK8" s="618"/>
      <c r="AL8" s="608" t="s">
        <v>342</v>
      </c>
      <c r="AM8" s="609"/>
      <c r="AN8" s="610"/>
    </row>
    <row r="9" spans="1:40" ht="18" thickTop="1" thickBot="1">
      <c r="A9" s="611" t="s">
        <v>12</v>
      </c>
      <c r="B9" s="612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29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8"/>
      <c r="AG9" s="579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</row>
    <row r="10" spans="1:40" ht="16.5" customHeight="1" thickTop="1">
      <c r="A10" s="598" t="s">
        <v>13</v>
      </c>
      <c r="B10" s="59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5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611" t="s">
        <v>349</v>
      </c>
      <c r="AG10" s="612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</row>
    <row r="11" spans="1:40">
      <c r="A11" s="598" t="s">
        <v>14</v>
      </c>
      <c r="B11" s="59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4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98" t="s">
        <v>136</v>
      </c>
      <c r="AG11" s="59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</row>
    <row r="12" spans="1:40">
      <c r="A12" s="598" t="s">
        <v>15</v>
      </c>
      <c r="B12" s="59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5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98" t="s">
        <v>137</v>
      </c>
      <c r="AG12" s="59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40">
      <c r="A13" s="598" t="s">
        <v>16</v>
      </c>
      <c r="B13" s="59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4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98" t="s">
        <v>350</v>
      </c>
      <c r="AG13" s="59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40">
      <c r="A14" s="598" t="s">
        <v>17</v>
      </c>
      <c r="B14" s="59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5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98" t="s">
        <v>351</v>
      </c>
      <c r="AG14" s="59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40" ht="16.5" customHeight="1">
      <c r="A15" s="12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4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98" t="s">
        <v>352</v>
      </c>
      <c r="AG15" s="59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40">
      <c r="A16" s="13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5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91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3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4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90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30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90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98" t="s">
        <v>24</v>
      </c>
      <c r="B19" s="59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98" t="s">
        <v>25</v>
      </c>
      <c r="B20" s="59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98" t="s">
        <v>353</v>
      </c>
      <c r="AG20" s="59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0" t="s">
        <v>26</v>
      </c>
      <c r="B21" s="601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>
        <f>F88</f>
        <v>0</v>
      </c>
      <c r="AF21" s="598" t="s">
        <v>354</v>
      </c>
      <c r="AG21" s="59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Z22" s="75"/>
      <c r="AA22" t="s">
        <v>235</v>
      </c>
      <c r="AF22" s="600" t="s">
        <v>26</v>
      </c>
      <c r="AG22" s="601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72</v>
      </c>
      <c r="Q24" s="76" t="s">
        <v>244</v>
      </c>
      <c r="S24" t="s">
        <v>245</v>
      </c>
    </row>
    <row r="25" spans="1:40" ht="17.5" thickTop="1">
      <c r="A25" s="576" t="s">
        <v>1</v>
      </c>
      <c r="B25" s="577"/>
      <c r="C25" s="1" t="s">
        <v>2</v>
      </c>
      <c r="D25" s="615" t="s">
        <v>29</v>
      </c>
      <c r="E25" s="616"/>
      <c r="F25" s="616"/>
      <c r="G25" s="616"/>
      <c r="H25" s="616"/>
      <c r="I25" s="617"/>
      <c r="K25" s="576" t="s">
        <v>27</v>
      </c>
      <c r="L25" s="577"/>
      <c r="M25" s="1" t="s">
        <v>2</v>
      </c>
      <c r="N25" s="615" t="s">
        <v>234</v>
      </c>
      <c r="O25" s="616"/>
      <c r="P25" s="616"/>
      <c r="Q25" s="616"/>
      <c r="R25" s="616"/>
      <c r="S25" s="617"/>
    </row>
    <row r="26" spans="1:40">
      <c r="A26" s="613"/>
      <c r="B26" s="614"/>
      <c r="C26" s="2" t="s">
        <v>3</v>
      </c>
      <c r="D26" s="608" t="s">
        <v>30</v>
      </c>
      <c r="E26" s="609"/>
      <c r="F26" s="618"/>
      <c r="G26" s="608" t="s">
        <v>31</v>
      </c>
      <c r="H26" s="609"/>
      <c r="I26" s="610"/>
      <c r="K26" s="613"/>
      <c r="L26" s="614"/>
      <c r="M26" s="2" t="s">
        <v>3</v>
      </c>
      <c r="N26" s="608" t="s">
        <v>30</v>
      </c>
      <c r="O26" s="609"/>
      <c r="P26" s="618"/>
      <c r="Q26" s="608" t="s">
        <v>31</v>
      </c>
      <c r="R26" s="609"/>
      <c r="S26" s="610"/>
      <c r="U26" t="s">
        <v>35</v>
      </c>
      <c r="W26" t="s">
        <v>38</v>
      </c>
      <c r="Y26" t="s">
        <v>147</v>
      </c>
      <c r="Z26" t="s">
        <v>148</v>
      </c>
      <c r="AA26" s="32" t="s">
        <v>74</v>
      </c>
    </row>
    <row r="27" spans="1:40" ht="17.5" thickBot="1">
      <c r="A27" s="578"/>
      <c r="B27" s="579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8"/>
      <c r="L27" s="579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  <c r="Y27" t="s">
        <v>12</v>
      </c>
      <c r="Z27" t="s">
        <v>73</v>
      </c>
      <c r="AA27" s="75">
        <v>11477.778199999999</v>
      </c>
    </row>
    <row r="28" spans="1:40" ht="17.5" thickTop="1">
      <c r="A28" s="611" t="s">
        <v>12</v>
      </c>
      <c r="B28" s="612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611" t="s">
        <v>135</v>
      </c>
      <c r="L28" s="612"/>
      <c r="M28" s="6">
        <v>53</v>
      </c>
      <c r="N28" s="6">
        <f>AI10/2</f>
        <v>170</v>
      </c>
      <c r="O28" s="6">
        <f t="shared" ref="O28:S28" si="0">AJ10/2</f>
        <v>53</v>
      </c>
      <c r="P28" s="6">
        <f t="shared" si="0"/>
        <v>223</v>
      </c>
      <c r="Q28" s="6">
        <f t="shared" si="0"/>
        <v>170</v>
      </c>
      <c r="R28" s="6">
        <f t="shared" si="0"/>
        <v>53</v>
      </c>
      <c r="S28" s="7">
        <f t="shared" si="0"/>
        <v>223</v>
      </c>
      <c r="V28">
        <v>2029</v>
      </c>
      <c r="W28">
        <v>2.5499999999999998</v>
      </c>
      <c r="Y28" t="s">
        <v>13</v>
      </c>
      <c r="Z28" t="s">
        <v>75</v>
      </c>
      <c r="AA28" s="75">
        <v>907.24059999999997</v>
      </c>
    </row>
    <row r="29" spans="1:40">
      <c r="A29" s="598" t="s">
        <v>13</v>
      </c>
      <c r="B29" s="59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98" t="s">
        <v>136</v>
      </c>
      <c r="L29" s="599"/>
      <c r="M29" s="8">
        <v>15360</v>
      </c>
      <c r="N29" s="9">
        <f t="shared" ref="N29:S29" si="1">AI11/2</f>
        <v>138</v>
      </c>
      <c r="O29" s="8">
        <f t="shared" si="1"/>
        <v>896</v>
      </c>
      <c r="P29" s="8">
        <f t="shared" si="1"/>
        <v>1034</v>
      </c>
      <c r="Q29" s="9">
        <f t="shared" si="1"/>
        <v>135</v>
      </c>
      <c r="R29" s="8">
        <f t="shared" si="1"/>
        <v>896</v>
      </c>
      <c r="S29" s="11">
        <f t="shared" si="1"/>
        <v>1031</v>
      </c>
      <c r="U29" t="s">
        <v>37</v>
      </c>
      <c r="V29">
        <v>2025</v>
      </c>
      <c r="W29">
        <v>2</v>
      </c>
      <c r="Y29" t="s">
        <v>13</v>
      </c>
      <c r="Z29" t="s">
        <v>77</v>
      </c>
      <c r="AA29" s="75">
        <v>3134.9627</v>
      </c>
    </row>
    <row r="30" spans="1:40">
      <c r="A30" s="598" t="s">
        <v>14</v>
      </c>
      <c r="B30" s="59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98" t="s">
        <v>137</v>
      </c>
      <c r="L30" s="599"/>
      <c r="M30" s="8">
        <v>88536</v>
      </c>
      <c r="N30" s="8">
        <f t="shared" ref="N30:S30" si="2">AI12/2</f>
        <v>1028</v>
      </c>
      <c r="O30" s="8">
        <f t="shared" si="2"/>
        <v>5751</v>
      </c>
      <c r="P30" s="8">
        <f t="shared" si="2"/>
        <v>6779</v>
      </c>
      <c r="Q30" s="8">
        <f t="shared" si="2"/>
        <v>1011</v>
      </c>
      <c r="R30" s="8">
        <f t="shared" si="2"/>
        <v>5749</v>
      </c>
      <c r="S30" s="11">
        <f t="shared" si="2"/>
        <v>6760</v>
      </c>
      <c r="V30">
        <v>2029</v>
      </c>
      <c r="W30">
        <v>2</v>
      </c>
      <c r="Y30" t="s">
        <v>138</v>
      </c>
      <c r="Z30" t="s">
        <v>78</v>
      </c>
      <c r="AA30" s="75">
        <v>5454.9395000000004</v>
      </c>
    </row>
    <row r="31" spans="1:40">
      <c r="A31" s="598" t="s">
        <v>15</v>
      </c>
      <c r="B31" s="59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98" t="s">
        <v>139</v>
      </c>
      <c r="L31" s="599"/>
      <c r="M31" s="8">
        <v>835928</v>
      </c>
      <c r="N31" s="8">
        <f t="shared" ref="N31:S31" si="3">AI13/2</f>
        <v>29007</v>
      </c>
      <c r="O31" s="8">
        <f t="shared" si="3"/>
        <v>13118</v>
      </c>
      <c r="P31" s="8">
        <f t="shared" si="3"/>
        <v>42125</v>
      </c>
      <c r="Q31" s="8">
        <f t="shared" si="3"/>
        <v>28532</v>
      </c>
      <c r="R31" s="8">
        <f t="shared" si="3"/>
        <v>13113</v>
      </c>
      <c r="S31" s="11">
        <f t="shared" si="3"/>
        <v>41645</v>
      </c>
      <c r="Y31" t="s">
        <v>14</v>
      </c>
      <c r="Z31" t="s">
        <v>80</v>
      </c>
      <c r="AA31" s="75">
        <v>7192.9411</v>
      </c>
    </row>
    <row r="32" spans="1:40">
      <c r="A32" s="598" t="s">
        <v>16</v>
      </c>
      <c r="B32" s="59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98" t="s">
        <v>43</v>
      </c>
      <c r="L32" s="599"/>
      <c r="M32" s="8">
        <v>114912</v>
      </c>
      <c r="N32" s="8">
        <f t="shared" ref="N32:S32" si="4">AI14/2</f>
        <v>3144</v>
      </c>
      <c r="O32" s="8">
        <f t="shared" si="4"/>
        <v>578</v>
      </c>
      <c r="P32" s="8">
        <f t="shared" si="4"/>
        <v>3722</v>
      </c>
      <c r="Q32" s="8">
        <f t="shared" si="4"/>
        <v>3092</v>
      </c>
      <c r="R32" s="8">
        <f t="shared" si="4"/>
        <v>578</v>
      </c>
      <c r="S32" s="11">
        <f t="shared" si="4"/>
        <v>3670</v>
      </c>
      <c r="Y32" t="s">
        <v>140</v>
      </c>
      <c r="Z32" t="s">
        <v>85</v>
      </c>
      <c r="AA32" s="75">
        <v>24085.599100000003</v>
      </c>
    </row>
    <row r="33" spans="1:27">
      <c r="A33" s="598" t="s">
        <v>17</v>
      </c>
      <c r="B33" s="59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98" t="s">
        <v>141</v>
      </c>
      <c r="L33" s="599"/>
      <c r="M33" s="8">
        <v>265206</v>
      </c>
      <c r="N33" s="8">
        <f t="shared" ref="N33:S33" si="5">AI15/2</f>
        <v>2684</v>
      </c>
      <c r="O33" s="8">
        <f t="shared" si="5"/>
        <v>690</v>
      </c>
      <c r="P33" s="8">
        <f t="shared" si="5"/>
        <v>3374</v>
      </c>
      <c r="Q33" s="8">
        <f t="shared" si="5"/>
        <v>2640</v>
      </c>
      <c r="R33" s="8">
        <f t="shared" si="5"/>
        <v>690</v>
      </c>
      <c r="S33" s="11">
        <f t="shared" si="5"/>
        <v>3330</v>
      </c>
      <c r="Y33" t="s">
        <v>15</v>
      </c>
      <c r="Z33" t="s">
        <v>86</v>
      </c>
      <c r="AA33" s="75">
        <v>10713.892900000001</v>
      </c>
    </row>
    <row r="34" spans="1:27">
      <c r="A34" s="12" t="s">
        <v>18</v>
      </c>
      <c r="B34" s="15" t="s">
        <v>21</v>
      </c>
      <c r="C34" s="8">
        <v>195776</v>
      </c>
      <c r="D34" s="8">
        <v>2659</v>
      </c>
      <c r="E34" s="8">
        <v>9370</v>
      </c>
      <c r="F34" s="8">
        <v>12029</v>
      </c>
      <c r="G34" s="8">
        <v>2659</v>
      </c>
      <c r="H34" s="8">
        <v>9366</v>
      </c>
      <c r="I34" s="11">
        <v>12025</v>
      </c>
      <c r="J34" s="33" t="s">
        <v>120</v>
      </c>
      <c r="K34" s="12" t="s">
        <v>142</v>
      </c>
      <c r="L34" s="15" t="s">
        <v>21</v>
      </c>
      <c r="M34" s="8">
        <v>195776</v>
      </c>
      <c r="N34" s="8">
        <f t="shared" ref="N34:S34" si="6">AI16/2</f>
        <v>3446</v>
      </c>
      <c r="O34" s="8">
        <f t="shared" si="6"/>
        <v>9370</v>
      </c>
      <c r="P34" s="8">
        <f t="shared" si="6"/>
        <v>12816</v>
      </c>
      <c r="Q34" s="8">
        <f t="shared" si="6"/>
        <v>3390</v>
      </c>
      <c r="R34" s="8">
        <f t="shared" si="6"/>
        <v>9366</v>
      </c>
      <c r="S34" s="11">
        <f t="shared" si="6"/>
        <v>12756</v>
      </c>
      <c r="Y34" t="s">
        <v>15</v>
      </c>
      <c r="Z34" t="s">
        <v>87</v>
      </c>
      <c r="AA34" s="75">
        <v>10028.5581</v>
      </c>
    </row>
    <row r="35" spans="1:27">
      <c r="A35" s="13" t="s">
        <v>19</v>
      </c>
      <c r="B35" s="15" t="s">
        <v>14</v>
      </c>
      <c r="C35" s="8">
        <v>68522</v>
      </c>
      <c r="D35" s="9">
        <v>614</v>
      </c>
      <c r="E35" s="8">
        <v>4451</v>
      </c>
      <c r="F35" s="8">
        <v>5065</v>
      </c>
      <c r="G35" s="9">
        <v>614</v>
      </c>
      <c r="H35" s="8">
        <v>4449</v>
      </c>
      <c r="I35" s="11">
        <v>5063</v>
      </c>
      <c r="J35" s="33"/>
      <c r="K35" s="13" t="s">
        <v>19</v>
      </c>
      <c r="L35" s="15" t="s">
        <v>14</v>
      </c>
      <c r="M35" s="8">
        <v>68522</v>
      </c>
      <c r="N35" s="8">
        <f t="shared" ref="N35:S35" si="7">AI17/2</f>
        <v>796</v>
      </c>
      <c r="O35" s="8">
        <f t="shared" si="7"/>
        <v>4451</v>
      </c>
      <c r="P35" s="8">
        <f t="shared" si="7"/>
        <v>5247</v>
      </c>
      <c r="Q35" s="8">
        <f t="shared" si="7"/>
        <v>783</v>
      </c>
      <c r="R35" s="8">
        <f t="shared" si="7"/>
        <v>4449</v>
      </c>
      <c r="S35" s="11">
        <f t="shared" si="7"/>
        <v>5232</v>
      </c>
      <c r="Y35" t="s">
        <v>15</v>
      </c>
      <c r="Z35" t="s">
        <v>88</v>
      </c>
      <c r="AA35" s="75">
        <v>21685.084499999997</v>
      </c>
    </row>
    <row r="36" spans="1:27" ht="25">
      <c r="A36" s="13" t="s">
        <v>20</v>
      </c>
      <c r="B36" s="15" t="s">
        <v>13</v>
      </c>
      <c r="C36" s="8">
        <v>68522</v>
      </c>
      <c r="D36" s="9">
        <v>472</v>
      </c>
      <c r="E36" s="8">
        <v>3997</v>
      </c>
      <c r="F36" s="8">
        <v>4469</v>
      </c>
      <c r="G36" s="9">
        <v>472</v>
      </c>
      <c r="H36" s="8">
        <v>3995</v>
      </c>
      <c r="I36" s="11">
        <v>4467</v>
      </c>
      <c r="J36" s="33"/>
      <c r="K36" s="13" t="s">
        <v>20</v>
      </c>
      <c r="L36" s="15" t="s">
        <v>13</v>
      </c>
      <c r="M36" s="8">
        <v>68522</v>
      </c>
      <c r="N36" s="8">
        <f t="shared" ref="N36:S36" si="8">AI18/2</f>
        <v>612</v>
      </c>
      <c r="O36" s="8">
        <f t="shared" si="8"/>
        <v>3997</v>
      </c>
      <c r="P36" s="8">
        <f t="shared" si="8"/>
        <v>4609</v>
      </c>
      <c r="Q36" s="8">
        <f t="shared" si="8"/>
        <v>602</v>
      </c>
      <c r="R36" s="8">
        <f t="shared" si="8"/>
        <v>3995</v>
      </c>
      <c r="S36" s="11">
        <f t="shared" si="8"/>
        <v>4597</v>
      </c>
      <c r="Y36" t="s">
        <v>15</v>
      </c>
      <c r="Z36" t="s">
        <v>83</v>
      </c>
      <c r="AA36" s="75">
        <v>10018.5584</v>
      </c>
    </row>
    <row r="37" spans="1:27">
      <c r="A37" s="14"/>
      <c r="B37" s="15" t="s">
        <v>23</v>
      </c>
      <c r="C37" s="8">
        <v>58733</v>
      </c>
      <c r="D37" s="8">
        <v>1573</v>
      </c>
      <c r="E37" s="9">
        <v>922</v>
      </c>
      <c r="F37" s="8">
        <v>2495</v>
      </c>
      <c r="G37" s="8">
        <v>1573</v>
      </c>
      <c r="H37" s="9">
        <v>922</v>
      </c>
      <c r="I37" s="11">
        <v>2495</v>
      </c>
      <c r="J37" s="33"/>
      <c r="K37" s="14"/>
      <c r="L37" s="15" t="s">
        <v>23</v>
      </c>
      <c r="M37" s="8">
        <v>58733</v>
      </c>
      <c r="N37" s="8">
        <f t="shared" ref="N37:S37" si="9">AI19/2</f>
        <v>2038</v>
      </c>
      <c r="O37" s="8">
        <f t="shared" si="9"/>
        <v>922</v>
      </c>
      <c r="P37" s="8">
        <f t="shared" si="9"/>
        <v>2960</v>
      </c>
      <c r="Q37" s="8">
        <f t="shared" si="9"/>
        <v>2005</v>
      </c>
      <c r="R37" s="8">
        <f t="shared" si="9"/>
        <v>922</v>
      </c>
      <c r="S37" s="11">
        <f t="shared" si="9"/>
        <v>2927</v>
      </c>
      <c r="Y37" t="s">
        <v>15</v>
      </c>
      <c r="Z37" t="s">
        <v>84</v>
      </c>
      <c r="AA37" s="75">
        <v>5030.8546999999999</v>
      </c>
    </row>
    <row r="38" spans="1:27">
      <c r="A38" s="598" t="s">
        <v>24</v>
      </c>
      <c r="B38" s="599"/>
      <c r="C38" s="8">
        <v>76980</v>
      </c>
      <c r="D38" s="9">
        <v>842</v>
      </c>
      <c r="E38" s="8">
        <v>2864</v>
      </c>
      <c r="F38" s="8">
        <v>3706</v>
      </c>
      <c r="G38" s="9">
        <v>842</v>
      </c>
      <c r="H38" s="8">
        <v>2863</v>
      </c>
      <c r="I38" s="11">
        <v>3705</v>
      </c>
      <c r="J38" s="33" t="s">
        <v>124</v>
      </c>
      <c r="K38" s="598" t="s">
        <v>144</v>
      </c>
      <c r="L38" s="599"/>
      <c r="M38" s="8">
        <v>76980</v>
      </c>
      <c r="N38" s="8">
        <f t="shared" ref="N38:S38" si="10">AI20/2</f>
        <v>1091</v>
      </c>
      <c r="O38" s="8">
        <f t="shared" si="10"/>
        <v>2864</v>
      </c>
      <c r="P38" s="8">
        <f t="shared" si="10"/>
        <v>3955</v>
      </c>
      <c r="Q38" s="8">
        <f t="shared" si="10"/>
        <v>1073</v>
      </c>
      <c r="R38" s="8">
        <f t="shared" si="10"/>
        <v>2863</v>
      </c>
      <c r="S38" s="11">
        <f t="shared" si="10"/>
        <v>3936</v>
      </c>
      <c r="Y38" t="s">
        <v>15</v>
      </c>
      <c r="Z38" t="s">
        <v>89</v>
      </c>
      <c r="AA38" s="75">
        <v>6744.6391999999996</v>
      </c>
    </row>
    <row r="39" spans="1:27">
      <c r="A39" s="598" t="s">
        <v>25</v>
      </c>
      <c r="B39" s="599"/>
      <c r="C39" s="8">
        <v>11571</v>
      </c>
      <c r="D39" s="9">
        <v>265</v>
      </c>
      <c r="E39" s="8">
        <v>2250</v>
      </c>
      <c r="F39" s="8">
        <v>2515</v>
      </c>
      <c r="G39" s="9">
        <v>265</v>
      </c>
      <c r="H39" s="8">
        <v>2249</v>
      </c>
      <c r="I39" s="11">
        <v>2514</v>
      </c>
      <c r="J39" s="33" t="s">
        <v>129</v>
      </c>
      <c r="K39" s="598" t="s">
        <v>145</v>
      </c>
      <c r="L39" s="599"/>
      <c r="M39" s="8">
        <v>11571</v>
      </c>
      <c r="N39" s="9">
        <f t="shared" ref="N39:S39" si="11">AI21/2</f>
        <v>344</v>
      </c>
      <c r="O39" s="8">
        <f t="shared" si="11"/>
        <v>2250</v>
      </c>
      <c r="P39" s="8">
        <f t="shared" si="11"/>
        <v>2594</v>
      </c>
      <c r="Q39" s="9">
        <f t="shared" si="11"/>
        <v>338</v>
      </c>
      <c r="R39" s="8">
        <f t="shared" si="11"/>
        <v>2249</v>
      </c>
      <c r="S39" s="11">
        <f t="shared" si="11"/>
        <v>2587</v>
      </c>
      <c r="Y39" t="s">
        <v>15</v>
      </c>
      <c r="Z39" t="s">
        <v>90</v>
      </c>
      <c r="AA39" s="75">
        <v>9730.2787000000008</v>
      </c>
    </row>
    <row r="40" spans="1:27" ht="17.5" thickBot="1">
      <c r="A40" s="600" t="s">
        <v>26</v>
      </c>
      <c r="B40" s="601"/>
      <c r="C40" s="16" t="s">
        <v>22</v>
      </c>
      <c r="D40" s="17">
        <v>31679</v>
      </c>
      <c r="E40" s="17">
        <v>35570</v>
      </c>
      <c r="F40" s="17">
        <v>67249</v>
      </c>
      <c r="G40" s="17">
        <v>31679</v>
      </c>
      <c r="H40" s="17">
        <v>35557</v>
      </c>
      <c r="I40" s="18">
        <v>67236</v>
      </c>
      <c r="K40" s="600" t="s">
        <v>26</v>
      </c>
      <c r="L40" s="601"/>
      <c r="M40" s="16" t="s">
        <v>22</v>
      </c>
      <c r="N40" s="17">
        <f t="shared" ref="N40:S40" si="12">AI22/2</f>
        <v>41052</v>
      </c>
      <c r="O40" s="17">
        <f t="shared" si="12"/>
        <v>35570</v>
      </c>
      <c r="P40" s="17">
        <f t="shared" si="12"/>
        <v>76622</v>
      </c>
      <c r="Q40" s="17">
        <f t="shared" si="12"/>
        <v>40381</v>
      </c>
      <c r="R40" s="17">
        <f t="shared" si="12"/>
        <v>35557</v>
      </c>
      <c r="S40" s="18">
        <f t="shared" si="12"/>
        <v>75938</v>
      </c>
      <c r="Y40" t="s">
        <v>15</v>
      </c>
      <c r="Z40" t="s">
        <v>91</v>
      </c>
      <c r="AA40" s="75">
        <v>11598.4503</v>
      </c>
    </row>
    <row r="41" spans="1:27" ht="17.5" thickTop="1">
      <c r="A41" s="19"/>
      <c r="B41" s="19"/>
      <c r="C41" s="20"/>
      <c r="D41" s="21"/>
      <c r="E41" s="21"/>
      <c r="F41" s="21"/>
      <c r="G41" s="21"/>
      <c r="H41" s="21"/>
      <c r="I41" s="21"/>
      <c r="K41" s="19"/>
      <c r="L41" s="19"/>
      <c r="M41" s="20"/>
      <c r="N41" s="21"/>
      <c r="O41" s="21"/>
      <c r="P41" s="21"/>
      <c r="Q41" s="21"/>
      <c r="R41" s="21"/>
      <c r="S41" s="21"/>
      <c r="Y41" t="s">
        <v>15</v>
      </c>
      <c r="Z41" t="s">
        <v>92</v>
      </c>
      <c r="AA41" s="75">
        <v>20670.0766</v>
      </c>
    </row>
    <row r="42" spans="1:27" ht="23">
      <c r="A42" s="32"/>
      <c r="B42" s="99" t="s">
        <v>272</v>
      </c>
      <c r="I42" t="s">
        <v>245</v>
      </c>
      <c r="L42" s="99" t="s">
        <v>278</v>
      </c>
      <c r="S42" t="s">
        <v>245</v>
      </c>
      <c r="Y42" t="s">
        <v>15</v>
      </c>
      <c r="Z42" t="s">
        <v>93</v>
      </c>
      <c r="AA42" s="75">
        <v>6590.8657999999996</v>
      </c>
    </row>
    <row r="43" spans="1:27">
      <c r="B43" s="594" t="s">
        <v>268</v>
      </c>
      <c r="C43" s="594"/>
      <c r="D43" s="100"/>
      <c r="E43" s="100" t="s">
        <v>261</v>
      </c>
      <c r="F43" s="100" t="s">
        <v>262</v>
      </c>
      <c r="G43" s="100" t="s">
        <v>263</v>
      </c>
      <c r="H43" s="100" t="s">
        <v>264</v>
      </c>
      <c r="I43" s="100" t="s">
        <v>265</v>
      </c>
      <c r="J43" s="100"/>
      <c r="L43" s="594" t="s">
        <v>271</v>
      </c>
      <c r="M43" s="594"/>
      <c r="N43" s="100"/>
      <c r="O43" s="100" t="s">
        <v>261</v>
      </c>
      <c r="P43" s="100" t="s">
        <v>262</v>
      </c>
      <c r="Q43" s="100" t="s">
        <v>263</v>
      </c>
      <c r="R43" s="100" t="s">
        <v>264</v>
      </c>
      <c r="S43" s="100" t="s">
        <v>265</v>
      </c>
      <c r="T43" s="100"/>
      <c r="Y43" t="s">
        <v>15</v>
      </c>
      <c r="Z43" t="s">
        <v>94</v>
      </c>
      <c r="AA43" s="75">
        <v>3970.3760000000002</v>
      </c>
    </row>
    <row r="44" spans="1:27">
      <c r="B44" s="575" t="s">
        <v>135</v>
      </c>
      <c r="C44" s="575"/>
      <c r="D44" s="98"/>
      <c r="E44" s="581" t="s">
        <v>273</v>
      </c>
      <c r="F44" s="582"/>
      <c r="G44" s="582"/>
      <c r="H44" s="582"/>
      <c r="I44" s="583"/>
      <c r="J44" s="98"/>
      <c r="L44" s="575" t="s">
        <v>135</v>
      </c>
      <c r="M44" s="575"/>
      <c r="N44" s="98"/>
      <c r="O44" s="581" t="s">
        <v>273</v>
      </c>
      <c r="P44" s="582"/>
      <c r="Q44" s="582"/>
      <c r="R44" s="583"/>
      <c r="S44" s="98"/>
      <c r="T44" s="98"/>
      <c r="Y44" t="s">
        <v>15</v>
      </c>
      <c r="Z44" t="s">
        <v>95</v>
      </c>
      <c r="AA44" s="75">
        <v>14487.1335</v>
      </c>
    </row>
    <row r="45" spans="1:27" ht="16.5" customHeight="1">
      <c r="B45" s="575"/>
      <c r="C45" s="575"/>
      <c r="D45" s="98"/>
      <c r="E45" s="584"/>
      <c r="F45" s="585"/>
      <c r="G45" s="585"/>
      <c r="H45" s="585"/>
      <c r="I45" s="586"/>
      <c r="J45" s="98"/>
      <c r="L45" s="575"/>
      <c r="M45" s="575"/>
      <c r="N45" s="98"/>
      <c r="O45" s="584"/>
      <c r="P45" s="585"/>
      <c r="Q45" s="585"/>
      <c r="R45" s="586"/>
      <c r="S45" s="98"/>
      <c r="T45" s="98"/>
      <c r="Y45" t="s">
        <v>15</v>
      </c>
      <c r="Z45" t="s">
        <v>96</v>
      </c>
      <c r="AA45" s="75">
        <v>7440.5132000000003</v>
      </c>
    </row>
    <row r="46" spans="1:27" ht="16.5" customHeight="1">
      <c r="B46" s="575" t="s">
        <v>136</v>
      </c>
      <c r="C46" s="575"/>
      <c r="D46" s="98" t="s">
        <v>266</v>
      </c>
      <c r="E46" s="101">
        <f>$N$29*U11</f>
        <v>36.155999999999999</v>
      </c>
      <c r="F46" s="101">
        <f t="shared" ref="F46:H46" si="13">$N$29*V11</f>
        <v>10.35</v>
      </c>
      <c r="G46" s="101">
        <f t="shared" si="13"/>
        <v>82.524000000000001</v>
      </c>
      <c r="H46" s="101">
        <f t="shared" si="13"/>
        <v>8.9700000000000006</v>
      </c>
      <c r="I46" s="101">
        <f>SUM(E46:H46)</f>
        <v>138</v>
      </c>
      <c r="J46" s="98" t="b">
        <f>I46=N29</f>
        <v>1</v>
      </c>
      <c r="L46" s="575" t="s">
        <v>136</v>
      </c>
      <c r="M46" s="575"/>
      <c r="N46" s="98" t="s">
        <v>266</v>
      </c>
      <c r="O46" s="101">
        <f>$Q$29*U11</f>
        <v>35.370000000000005</v>
      </c>
      <c r="P46" s="101">
        <f t="shared" ref="P46:R46" si="14">$Q$29*V11</f>
        <v>10.125</v>
      </c>
      <c r="Q46" s="101">
        <f t="shared" si="14"/>
        <v>80.72999999999999</v>
      </c>
      <c r="R46" s="101">
        <f t="shared" si="14"/>
        <v>8.7750000000000004</v>
      </c>
      <c r="S46" s="101">
        <f>SUM(O46:R46)</f>
        <v>135</v>
      </c>
      <c r="T46" s="98" t="b">
        <f>S46=Q29</f>
        <v>1</v>
      </c>
      <c r="Y46" t="s">
        <v>15</v>
      </c>
      <c r="Z46" t="s">
        <v>97</v>
      </c>
      <c r="AA46" s="75">
        <v>20150.029900000001</v>
      </c>
    </row>
    <row r="47" spans="1:27" ht="27" customHeight="1">
      <c r="B47" s="575"/>
      <c r="C47" s="575"/>
      <c r="D47" s="98" t="s">
        <v>267</v>
      </c>
      <c r="E47" s="101">
        <f>$O$29*U12</f>
        <v>198.01599999999999</v>
      </c>
      <c r="F47" s="101">
        <f t="shared" ref="F47:H47" si="15">$O$29*V12</f>
        <v>68.992000000000004</v>
      </c>
      <c r="G47" s="101">
        <f t="shared" si="15"/>
        <v>567.16800000000001</v>
      </c>
      <c r="H47" s="101">
        <f t="shared" si="15"/>
        <v>61.824000000000005</v>
      </c>
      <c r="I47" s="101">
        <f>SUM(E47:H47)</f>
        <v>895.99999999999989</v>
      </c>
      <c r="J47" s="98" t="b">
        <f>I47=O29</f>
        <v>1</v>
      </c>
      <c r="L47" s="575"/>
      <c r="M47" s="575"/>
      <c r="N47" s="98" t="s">
        <v>267</v>
      </c>
      <c r="O47" s="101">
        <f>$R$29*U12</f>
        <v>198.01599999999999</v>
      </c>
      <c r="P47" s="101">
        <f t="shared" ref="P47:R47" si="16">$R$29*V12</f>
        <v>68.992000000000004</v>
      </c>
      <c r="Q47" s="101">
        <f t="shared" si="16"/>
        <v>567.16800000000001</v>
      </c>
      <c r="R47" s="101">
        <f t="shared" si="16"/>
        <v>61.824000000000005</v>
      </c>
      <c r="S47" s="101">
        <f>SUM(O47:R47)</f>
        <v>895.99999999999989</v>
      </c>
      <c r="T47" s="98" t="b">
        <f>S47=R29</f>
        <v>1</v>
      </c>
      <c r="Y47" t="s">
        <v>15</v>
      </c>
      <c r="Z47" t="s">
        <v>98</v>
      </c>
      <c r="AA47" s="75">
        <v>8631.4781000000003</v>
      </c>
    </row>
    <row r="48" spans="1:27" ht="27" customHeight="1">
      <c r="B48" s="575" t="s">
        <v>137</v>
      </c>
      <c r="C48" s="575"/>
      <c r="D48" s="98" t="s">
        <v>266</v>
      </c>
      <c r="E48" s="101">
        <f>$N$30*U15</f>
        <v>312.512</v>
      </c>
      <c r="F48" s="101">
        <f t="shared" ref="F48:H48" si="17">$N$30*V15</f>
        <v>74.015999999999991</v>
      </c>
      <c r="G48" s="101">
        <f t="shared" si="17"/>
        <v>425.59199999999998</v>
      </c>
      <c r="H48" s="101">
        <f t="shared" si="17"/>
        <v>215.88</v>
      </c>
      <c r="I48" s="101">
        <f t="shared" ref="I48:I55" si="18">SUM(E48:H48)</f>
        <v>1028</v>
      </c>
      <c r="J48" s="98" t="b">
        <f>I48=N30</f>
        <v>1</v>
      </c>
      <c r="L48" s="575" t="s">
        <v>137</v>
      </c>
      <c r="M48" s="575"/>
      <c r="N48" s="98" t="s">
        <v>266</v>
      </c>
      <c r="O48" s="101">
        <f>$Q$30*U15</f>
        <v>307.34399999999999</v>
      </c>
      <c r="P48" s="101">
        <f t="shared" ref="P48:R48" si="19">$Q$30*V15</f>
        <v>72.792000000000002</v>
      </c>
      <c r="Q48" s="101">
        <f t="shared" si="19"/>
        <v>418.55399999999997</v>
      </c>
      <c r="R48" s="101">
        <f t="shared" si="19"/>
        <v>212.31</v>
      </c>
      <c r="S48" s="101">
        <f t="shared" ref="S48:S55" si="20">SUM(O48:R48)</f>
        <v>1011</v>
      </c>
      <c r="T48" s="98" t="b">
        <f>S48=Q30</f>
        <v>1</v>
      </c>
      <c r="Y48" t="s">
        <v>15</v>
      </c>
      <c r="Z48" t="s">
        <v>99</v>
      </c>
      <c r="AA48" s="75">
        <v>11977.777099999999</v>
      </c>
    </row>
    <row r="49" spans="2:27" ht="27" customHeight="1">
      <c r="B49" s="575"/>
      <c r="C49" s="575"/>
      <c r="D49" s="98" t="s">
        <v>267</v>
      </c>
      <c r="E49" s="101">
        <f>$O$30*U16</f>
        <v>1777.059</v>
      </c>
      <c r="F49" s="101">
        <f t="shared" ref="F49:H49" si="21">$O$30*V16</f>
        <v>437.07599999999996</v>
      </c>
      <c r="G49" s="101">
        <f t="shared" si="21"/>
        <v>2133.6210000000001</v>
      </c>
      <c r="H49" s="101">
        <f t="shared" si="21"/>
        <v>1403.2439999999999</v>
      </c>
      <c r="I49" s="101">
        <f t="shared" si="18"/>
        <v>5750.9999999999991</v>
      </c>
      <c r="J49" s="98" t="b">
        <f>I49=O30</f>
        <v>1</v>
      </c>
      <c r="L49" s="575"/>
      <c r="M49" s="575"/>
      <c r="N49" s="98" t="s">
        <v>267</v>
      </c>
      <c r="O49" s="101">
        <f>$R$30*U16</f>
        <v>1776.441</v>
      </c>
      <c r="P49" s="101">
        <f t="shared" ref="P49:R49" si="22">$R$30*V16</f>
        <v>436.92399999999998</v>
      </c>
      <c r="Q49" s="101">
        <f t="shared" si="22"/>
        <v>2132.8789999999999</v>
      </c>
      <c r="R49" s="101">
        <f t="shared" si="22"/>
        <v>1402.7559999999999</v>
      </c>
      <c r="S49" s="101">
        <f t="shared" si="20"/>
        <v>5749</v>
      </c>
      <c r="T49" s="98" t="b">
        <f>S49=R30</f>
        <v>1</v>
      </c>
      <c r="Y49" t="s">
        <v>15</v>
      </c>
      <c r="Z49" t="s">
        <v>100</v>
      </c>
      <c r="AA49" s="75">
        <v>5754.1068999999998</v>
      </c>
    </row>
    <row r="50" spans="2:27" ht="27" customHeight="1">
      <c r="B50" s="575" t="s">
        <v>139</v>
      </c>
      <c r="C50" s="575"/>
      <c r="D50" s="98" t="s">
        <v>266</v>
      </c>
      <c r="E50" s="101">
        <f>$N$31*U13</f>
        <v>11167.695</v>
      </c>
      <c r="F50" s="101">
        <f t="shared" ref="F50:H50" si="23">$N$31*V13</f>
        <v>1479.357</v>
      </c>
      <c r="G50" s="101">
        <f t="shared" si="23"/>
        <v>10094.436</v>
      </c>
      <c r="H50" s="101">
        <f t="shared" si="23"/>
        <v>6265.5119999999997</v>
      </c>
      <c r="I50" s="101">
        <f t="shared" si="18"/>
        <v>29006.999999999996</v>
      </c>
      <c r="J50" s="98" t="b">
        <f>I50=N31</f>
        <v>1</v>
      </c>
      <c r="L50" s="575" t="s">
        <v>139</v>
      </c>
      <c r="M50" s="575"/>
      <c r="N50" s="98" t="s">
        <v>266</v>
      </c>
      <c r="O50" s="101">
        <f>$Q$31*U13</f>
        <v>10984.82</v>
      </c>
      <c r="P50" s="101">
        <f t="shared" ref="P50:R50" si="24">$Q$31*V13</f>
        <v>1455.1319999999998</v>
      </c>
      <c r="Q50" s="101">
        <f t="shared" si="24"/>
        <v>9929.1359999999986</v>
      </c>
      <c r="R50" s="101">
        <f t="shared" si="24"/>
        <v>6162.9120000000003</v>
      </c>
      <c r="S50" s="101">
        <f t="shared" si="20"/>
        <v>28531.999999999996</v>
      </c>
      <c r="T50" s="98" t="b">
        <f>S50=Q31</f>
        <v>1</v>
      </c>
      <c r="Y50" t="s">
        <v>15</v>
      </c>
      <c r="Z50" t="s">
        <v>101</v>
      </c>
      <c r="AA50" s="75">
        <v>6005.2467999999999</v>
      </c>
    </row>
    <row r="51" spans="2:27" ht="27" customHeight="1">
      <c r="B51" s="575"/>
      <c r="C51" s="575"/>
      <c r="D51" s="98" t="s">
        <v>267</v>
      </c>
      <c r="E51" s="101">
        <f>$O$31*U14</f>
        <v>5234.0820000000003</v>
      </c>
      <c r="F51" s="101">
        <f t="shared" ref="F51:H51" si="25">$O$31*V14</f>
        <v>813.31600000000003</v>
      </c>
      <c r="G51" s="101">
        <f t="shared" si="25"/>
        <v>3213.91</v>
      </c>
      <c r="H51" s="101">
        <f t="shared" si="25"/>
        <v>3856.692</v>
      </c>
      <c r="I51" s="101">
        <f t="shared" si="18"/>
        <v>13118</v>
      </c>
      <c r="J51" s="98" t="b">
        <f>I51=O31</f>
        <v>1</v>
      </c>
      <c r="L51" s="575"/>
      <c r="M51" s="575"/>
      <c r="N51" s="98" t="s">
        <v>267</v>
      </c>
      <c r="O51" s="101">
        <f>$R$31*U14</f>
        <v>5232.0870000000004</v>
      </c>
      <c r="P51" s="101">
        <f t="shared" ref="P51:R51" si="26">$R$31*V14</f>
        <v>813.00599999999997</v>
      </c>
      <c r="Q51" s="101">
        <f t="shared" si="26"/>
        <v>3212.6849999999999</v>
      </c>
      <c r="R51" s="101">
        <f t="shared" si="26"/>
        <v>3855.2219999999998</v>
      </c>
      <c r="S51" s="101">
        <f t="shared" si="20"/>
        <v>13113</v>
      </c>
      <c r="T51" s="98" t="b">
        <f>S51=R31</f>
        <v>1</v>
      </c>
      <c r="Y51" t="s">
        <v>16</v>
      </c>
      <c r="Z51" t="s">
        <v>113</v>
      </c>
      <c r="AA51" s="75">
        <v>10596.0813</v>
      </c>
    </row>
    <row r="52" spans="2:27" ht="27" customHeight="1">
      <c r="B52" s="575" t="s">
        <v>43</v>
      </c>
      <c r="C52" s="575"/>
      <c r="D52" s="98" t="s">
        <v>266</v>
      </c>
      <c r="E52" s="101">
        <f>$N$32*U13</f>
        <v>1210.44</v>
      </c>
      <c r="F52" s="101">
        <f t="shared" ref="F52:H52" si="27">$N$32*V13</f>
        <v>160.34399999999999</v>
      </c>
      <c r="G52" s="101">
        <f t="shared" si="27"/>
        <v>1094.1119999999999</v>
      </c>
      <c r="H52" s="101">
        <f t="shared" si="27"/>
        <v>679.10400000000004</v>
      </c>
      <c r="I52" s="101">
        <f t="shared" si="18"/>
        <v>3144</v>
      </c>
      <c r="J52" s="98" t="b">
        <f>I52=N32</f>
        <v>1</v>
      </c>
      <c r="L52" s="575" t="s">
        <v>43</v>
      </c>
      <c r="M52" s="575"/>
      <c r="N52" s="98" t="s">
        <v>266</v>
      </c>
      <c r="O52" s="101">
        <f>$Q$32*U13</f>
        <v>1190.42</v>
      </c>
      <c r="P52" s="101">
        <f t="shared" ref="P52:R52" si="28">$Q$32*V13</f>
        <v>157.69199999999998</v>
      </c>
      <c r="Q52" s="101">
        <f t="shared" si="28"/>
        <v>1076.0159999999998</v>
      </c>
      <c r="R52" s="101">
        <f t="shared" si="28"/>
        <v>667.87199999999996</v>
      </c>
      <c r="S52" s="101">
        <f t="shared" si="20"/>
        <v>3091.9999999999995</v>
      </c>
      <c r="T52" s="98" t="b">
        <f>S52=Q32</f>
        <v>1</v>
      </c>
      <c r="Y52" t="s">
        <v>16</v>
      </c>
      <c r="Z52" t="s">
        <v>114</v>
      </c>
      <c r="AA52" s="75">
        <v>10127.7948</v>
      </c>
    </row>
    <row r="53" spans="2:27" ht="27" customHeight="1">
      <c r="B53" s="575"/>
      <c r="C53" s="575"/>
      <c r="D53" s="98" t="s">
        <v>267</v>
      </c>
      <c r="E53" s="101">
        <f>$O$32*U14</f>
        <v>230.62200000000001</v>
      </c>
      <c r="F53" s="101">
        <f t="shared" ref="F53:H53" si="29">$O$32*V14</f>
        <v>35.835999999999999</v>
      </c>
      <c r="G53" s="101">
        <f t="shared" si="29"/>
        <v>141.60999999999999</v>
      </c>
      <c r="H53" s="101">
        <f t="shared" si="29"/>
        <v>169.93199999999999</v>
      </c>
      <c r="I53" s="101">
        <f t="shared" si="18"/>
        <v>578</v>
      </c>
      <c r="J53" s="98" t="b">
        <f>I53=O32</f>
        <v>1</v>
      </c>
      <c r="L53" s="575"/>
      <c r="M53" s="575"/>
      <c r="N53" s="98" t="s">
        <v>267</v>
      </c>
      <c r="O53" s="101">
        <f>$R$32*U14</f>
        <v>230.62200000000001</v>
      </c>
      <c r="P53" s="101">
        <f t="shared" ref="P53:R53" si="30">$R$32*V14</f>
        <v>35.835999999999999</v>
      </c>
      <c r="Q53" s="101">
        <f t="shared" si="30"/>
        <v>141.60999999999999</v>
      </c>
      <c r="R53" s="101">
        <f t="shared" si="30"/>
        <v>169.93199999999999</v>
      </c>
      <c r="S53" s="101">
        <f t="shared" si="20"/>
        <v>578</v>
      </c>
      <c r="T53" s="98" t="b">
        <f>S53=R32</f>
        <v>1</v>
      </c>
      <c r="Y53" t="s">
        <v>16</v>
      </c>
      <c r="Z53" t="s">
        <v>115</v>
      </c>
      <c r="AA53" s="75">
        <v>8987.5704000000005</v>
      </c>
    </row>
    <row r="54" spans="2:27" ht="16.5" customHeight="1">
      <c r="B54" s="575" t="s">
        <v>141</v>
      </c>
      <c r="C54" s="575"/>
      <c r="D54" s="98" t="s">
        <v>266</v>
      </c>
      <c r="E54" s="101">
        <f>$N$33*U13</f>
        <v>1033.3399999999999</v>
      </c>
      <c r="F54" s="101">
        <f t="shared" ref="F54:H54" si="31">$N$33*V13</f>
        <v>136.88399999999999</v>
      </c>
      <c r="G54" s="101">
        <f t="shared" si="31"/>
        <v>934.03199999999993</v>
      </c>
      <c r="H54" s="101">
        <f t="shared" si="31"/>
        <v>579.74400000000003</v>
      </c>
      <c r="I54" s="101">
        <f t="shared" si="18"/>
        <v>2684</v>
      </c>
      <c r="J54" s="98" t="b">
        <f>I54=N33</f>
        <v>1</v>
      </c>
      <c r="L54" s="575" t="s">
        <v>141</v>
      </c>
      <c r="M54" s="575"/>
      <c r="N54" s="98" t="s">
        <v>266</v>
      </c>
      <c r="O54" s="101">
        <f>$Q$33*U13</f>
        <v>1016.4</v>
      </c>
      <c r="P54" s="101">
        <f t="shared" ref="P54:R54" si="32">$Q$33*V13</f>
        <v>134.63999999999999</v>
      </c>
      <c r="Q54" s="101">
        <f t="shared" si="32"/>
        <v>918.71999999999991</v>
      </c>
      <c r="R54" s="101">
        <f t="shared" si="32"/>
        <v>570.24</v>
      </c>
      <c r="S54" s="101">
        <f t="shared" si="20"/>
        <v>2640</v>
      </c>
      <c r="T54" s="98" t="b">
        <f>S54=Q33</f>
        <v>1</v>
      </c>
      <c r="Y54" t="s">
        <v>141</v>
      </c>
      <c r="Z54" t="s">
        <v>116</v>
      </c>
      <c r="AA54" s="75">
        <v>2607.4872</v>
      </c>
    </row>
    <row r="55" spans="2:27" ht="16.5" customHeight="1">
      <c r="B55" s="575"/>
      <c r="C55" s="575"/>
      <c r="D55" s="98" t="s">
        <v>267</v>
      </c>
      <c r="E55" s="101">
        <f>$O$33*U14</f>
        <v>275.31</v>
      </c>
      <c r="F55" s="101">
        <f t="shared" ref="F55:H55" si="33">$O$33*V14</f>
        <v>42.78</v>
      </c>
      <c r="G55" s="101">
        <f t="shared" si="33"/>
        <v>169.04999999999998</v>
      </c>
      <c r="H55" s="101">
        <f t="shared" si="33"/>
        <v>202.85999999999999</v>
      </c>
      <c r="I55" s="101">
        <f t="shared" si="18"/>
        <v>690</v>
      </c>
      <c r="J55" s="98" t="b">
        <f>I55=O33</f>
        <v>1</v>
      </c>
      <c r="L55" s="575"/>
      <c r="M55" s="575"/>
      <c r="N55" s="98" t="s">
        <v>267</v>
      </c>
      <c r="O55" s="101">
        <f>$R$33*U14</f>
        <v>275.31</v>
      </c>
      <c r="P55" s="101">
        <f t="shared" ref="P55:R55" si="34">$R$33*V14</f>
        <v>42.78</v>
      </c>
      <c r="Q55" s="101">
        <f t="shared" si="34"/>
        <v>169.04999999999998</v>
      </c>
      <c r="R55" s="101">
        <f t="shared" si="34"/>
        <v>202.85999999999999</v>
      </c>
      <c r="S55" s="101">
        <f t="shared" si="20"/>
        <v>690</v>
      </c>
      <c r="T55" s="98" t="b">
        <f>S55=R33</f>
        <v>1</v>
      </c>
      <c r="Y55" t="s">
        <v>141</v>
      </c>
      <c r="Z55" t="s">
        <v>103</v>
      </c>
      <c r="AA55" s="75">
        <v>15824.4439</v>
      </c>
    </row>
    <row r="56" spans="2:27" ht="38.25" customHeight="1">
      <c r="B56" s="575" t="s">
        <v>269</v>
      </c>
      <c r="C56" s="575" t="s">
        <v>14</v>
      </c>
      <c r="D56" s="98" t="s">
        <v>266</v>
      </c>
      <c r="E56" s="101">
        <f>$N$35*U15</f>
        <v>241.98399999999998</v>
      </c>
      <c r="F56" s="101">
        <f>$N$35*V15</f>
        <v>57.311999999999998</v>
      </c>
      <c r="G56" s="101">
        <f>$N$35*W15</f>
        <v>329.54399999999998</v>
      </c>
      <c r="H56" s="101">
        <f>$N$35*X15</f>
        <v>167.16</v>
      </c>
      <c r="I56" s="101">
        <f t="shared" ref="I56:I61" si="35">SUM(E56:H56)</f>
        <v>795.99999999999989</v>
      </c>
      <c r="J56" s="98" t="b">
        <f>I56=N35</f>
        <v>1</v>
      </c>
      <c r="L56" s="575" t="s">
        <v>269</v>
      </c>
      <c r="M56" s="575" t="s">
        <v>14</v>
      </c>
      <c r="N56" s="98" t="s">
        <v>266</v>
      </c>
      <c r="O56" s="101">
        <f>$Q$35*U15</f>
        <v>238.03199999999998</v>
      </c>
      <c r="P56" s="101">
        <f t="shared" ref="P56:R56" si="36">$Q$35*V15</f>
        <v>56.375999999999998</v>
      </c>
      <c r="Q56" s="101">
        <f t="shared" si="36"/>
        <v>324.16199999999998</v>
      </c>
      <c r="R56" s="101">
        <f t="shared" si="36"/>
        <v>164.43</v>
      </c>
      <c r="S56" s="101">
        <f t="shared" ref="S56:S61" si="37">SUM(O56:R56)</f>
        <v>783</v>
      </c>
      <c r="T56" s="98" t="b">
        <f>S56=Q35</f>
        <v>1</v>
      </c>
      <c r="Y56" t="s">
        <v>141</v>
      </c>
      <c r="Z56" t="s">
        <v>104</v>
      </c>
      <c r="AA56" s="75">
        <v>11511.7454</v>
      </c>
    </row>
    <row r="57" spans="2:27">
      <c r="B57" s="575"/>
      <c r="C57" s="575"/>
      <c r="D57" s="98" t="s">
        <v>267</v>
      </c>
      <c r="E57" s="101">
        <f>$O$35*U16</f>
        <v>1375.3589999999999</v>
      </c>
      <c r="F57" s="101">
        <f>$O$35*V16</f>
        <v>338.27600000000001</v>
      </c>
      <c r="G57" s="101">
        <f>$O$35*W16</f>
        <v>1651.3209999999999</v>
      </c>
      <c r="H57" s="101">
        <f>$O$35*X16</f>
        <v>1086.0439999999999</v>
      </c>
      <c r="I57" s="101">
        <f t="shared" si="35"/>
        <v>4451</v>
      </c>
      <c r="J57" s="98" t="b">
        <f>I57=O35</f>
        <v>1</v>
      </c>
      <c r="L57" s="575"/>
      <c r="M57" s="575"/>
      <c r="N57" s="98" t="s">
        <v>267</v>
      </c>
      <c r="O57" s="101">
        <f>$R$35*U16</f>
        <v>1374.741</v>
      </c>
      <c r="P57" s="101">
        <f t="shared" ref="P57:R57" si="38">$R$35*V16</f>
        <v>338.12399999999997</v>
      </c>
      <c r="Q57" s="101">
        <f t="shared" si="38"/>
        <v>1650.579</v>
      </c>
      <c r="R57" s="101">
        <f t="shared" si="38"/>
        <v>1085.556</v>
      </c>
      <c r="S57" s="101">
        <f t="shared" si="37"/>
        <v>4449</v>
      </c>
      <c r="T57" s="98" t="b">
        <f>S57=R35</f>
        <v>1</v>
      </c>
      <c r="Y57" t="s">
        <v>141</v>
      </c>
      <c r="Z57" t="s">
        <v>117</v>
      </c>
      <c r="AA57" s="75">
        <v>4659.9287999999997</v>
      </c>
    </row>
    <row r="58" spans="2:27" ht="25.5" customHeight="1">
      <c r="B58" s="575"/>
      <c r="C58" s="575" t="s">
        <v>13</v>
      </c>
      <c r="D58" s="98" t="s">
        <v>266</v>
      </c>
      <c r="E58" s="101">
        <f>$N$36*U11</f>
        <v>160.34399999999999</v>
      </c>
      <c r="F58" s="101">
        <f t="shared" ref="F58:H58" si="39">$N$36*V11</f>
        <v>45.9</v>
      </c>
      <c r="G58" s="101">
        <f t="shared" si="39"/>
        <v>365.976</v>
      </c>
      <c r="H58" s="101">
        <f t="shared" si="39"/>
        <v>39.78</v>
      </c>
      <c r="I58" s="101">
        <f t="shared" si="35"/>
        <v>612</v>
      </c>
      <c r="J58" s="98" t="b">
        <f>I58=N36</f>
        <v>1</v>
      </c>
      <c r="L58" s="575"/>
      <c r="M58" s="575" t="s">
        <v>13</v>
      </c>
      <c r="N58" s="98" t="s">
        <v>266</v>
      </c>
      <c r="O58" s="101">
        <f>$Q$36*U11</f>
        <v>157.72400000000002</v>
      </c>
      <c r="P58" s="101">
        <f t="shared" ref="P58:R58" si="40">$Q$36*V11</f>
        <v>45.15</v>
      </c>
      <c r="Q58" s="101">
        <f t="shared" si="40"/>
        <v>359.99599999999998</v>
      </c>
      <c r="R58" s="101">
        <f t="shared" si="40"/>
        <v>39.130000000000003</v>
      </c>
      <c r="S58" s="101">
        <f t="shared" si="37"/>
        <v>602</v>
      </c>
      <c r="T58" s="98" t="b">
        <f>S58=Q36</f>
        <v>1</v>
      </c>
      <c r="Y58" t="s">
        <v>141</v>
      </c>
      <c r="Z58" t="s">
        <v>118</v>
      </c>
      <c r="AA58" s="75">
        <v>23055.857</v>
      </c>
    </row>
    <row r="59" spans="2:27" ht="25.5" customHeight="1">
      <c r="B59" s="575"/>
      <c r="C59" s="575"/>
      <c r="D59" s="98" t="s">
        <v>267</v>
      </c>
      <c r="E59" s="101">
        <f>$O$36*U12</f>
        <v>883.33699999999999</v>
      </c>
      <c r="F59" s="101">
        <f t="shared" ref="F59:H59" si="41">$O$36*V12</f>
        <v>307.76900000000001</v>
      </c>
      <c r="G59" s="101">
        <f t="shared" si="41"/>
        <v>2530.1010000000001</v>
      </c>
      <c r="H59" s="101">
        <f t="shared" si="41"/>
        <v>275.79300000000001</v>
      </c>
      <c r="I59" s="101">
        <f t="shared" si="35"/>
        <v>3997.0000000000005</v>
      </c>
      <c r="J59" s="98" t="b">
        <f>I59=O36</f>
        <v>1</v>
      </c>
      <c r="L59" s="575"/>
      <c r="M59" s="575"/>
      <c r="N59" s="98" t="s">
        <v>267</v>
      </c>
      <c r="O59" s="101">
        <f>$R$36*U12</f>
        <v>882.89499999999998</v>
      </c>
      <c r="P59" s="101">
        <f t="shared" ref="P59:R59" si="42">$R$36*V12</f>
        <v>307.61500000000001</v>
      </c>
      <c r="Q59" s="101">
        <f t="shared" si="42"/>
        <v>2528.835</v>
      </c>
      <c r="R59" s="101">
        <f t="shared" si="42"/>
        <v>275.65500000000003</v>
      </c>
      <c r="S59" s="101">
        <f t="shared" si="37"/>
        <v>3995.0000000000005</v>
      </c>
      <c r="T59" s="98" t="b">
        <f>S59=R36</f>
        <v>1</v>
      </c>
      <c r="Y59" t="s">
        <v>141</v>
      </c>
      <c r="Z59" t="s">
        <v>119</v>
      </c>
      <c r="AA59" s="75">
        <v>12131.7871</v>
      </c>
    </row>
    <row r="60" spans="2:27">
      <c r="B60" s="575"/>
      <c r="C60" s="575" t="s">
        <v>23</v>
      </c>
      <c r="D60" s="98" t="s">
        <v>266</v>
      </c>
      <c r="E60" s="101">
        <f>$N$37*U17</f>
        <v>654.19799999999998</v>
      </c>
      <c r="F60" s="101">
        <f t="shared" ref="F60:H60" si="43">$N$37*V17</f>
        <v>146.73599999999999</v>
      </c>
      <c r="G60" s="101">
        <f t="shared" si="43"/>
        <v>857.99799999999993</v>
      </c>
      <c r="H60" s="101">
        <f t="shared" si="43"/>
        <v>379.06799999999998</v>
      </c>
      <c r="I60" s="101">
        <f t="shared" si="35"/>
        <v>2037.9999999999998</v>
      </c>
      <c r="J60" s="98" t="b">
        <f>I60=N37</f>
        <v>1</v>
      </c>
      <c r="L60" s="575"/>
      <c r="M60" s="575" t="s">
        <v>23</v>
      </c>
      <c r="N60" s="98" t="s">
        <v>266</v>
      </c>
      <c r="O60" s="101">
        <f>$Q$37*U17</f>
        <v>643.60500000000002</v>
      </c>
      <c r="P60" s="101">
        <f t="shared" ref="P60:R60" si="44">$Q$37*V17</f>
        <v>144.35999999999999</v>
      </c>
      <c r="Q60" s="101">
        <f t="shared" si="44"/>
        <v>844.10500000000002</v>
      </c>
      <c r="R60" s="101">
        <f t="shared" si="44"/>
        <v>372.93</v>
      </c>
      <c r="S60" s="101">
        <f t="shared" si="37"/>
        <v>2005.0000000000002</v>
      </c>
      <c r="T60" s="98" t="b">
        <f>S60=Q37</f>
        <v>1</v>
      </c>
      <c r="Y60" t="s">
        <v>143</v>
      </c>
      <c r="Z60" t="s">
        <v>121</v>
      </c>
      <c r="AA60" s="75">
        <v>17191.4817</v>
      </c>
    </row>
    <row r="61" spans="2:27">
      <c r="B61" s="575"/>
      <c r="C61" s="575"/>
      <c r="D61" s="98" t="s">
        <v>267</v>
      </c>
      <c r="E61" s="101">
        <f>$O$37*U18</f>
        <v>317.16799999999995</v>
      </c>
      <c r="F61" s="101">
        <f t="shared" ref="F61:H61" si="45">$O$37*V18</f>
        <v>87.59</v>
      </c>
      <c r="G61" s="101">
        <f t="shared" si="45"/>
        <v>352.20400000000001</v>
      </c>
      <c r="H61" s="101">
        <f t="shared" si="45"/>
        <v>165.03799999999998</v>
      </c>
      <c r="I61" s="101">
        <f t="shared" si="35"/>
        <v>922</v>
      </c>
      <c r="J61" s="98" t="b">
        <f>I61=O37</f>
        <v>1</v>
      </c>
      <c r="L61" s="575"/>
      <c r="M61" s="575"/>
      <c r="N61" s="98" t="s">
        <v>267</v>
      </c>
      <c r="O61" s="101">
        <f>$R$37*U18</f>
        <v>317.16799999999995</v>
      </c>
      <c r="P61" s="101">
        <f t="shared" ref="P61:R61" si="46">$R$37*V18</f>
        <v>87.59</v>
      </c>
      <c r="Q61" s="101">
        <f t="shared" si="46"/>
        <v>352.20400000000001</v>
      </c>
      <c r="R61" s="101">
        <f t="shared" si="46"/>
        <v>165.03799999999998</v>
      </c>
      <c r="S61" s="101">
        <f t="shared" si="37"/>
        <v>922</v>
      </c>
      <c r="T61" s="98" t="b">
        <f>S61=R37</f>
        <v>1</v>
      </c>
      <c r="Y61" t="s">
        <v>143</v>
      </c>
      <c r="Z61" t="s">
        <v>122</v>
      </c>
      <c r="AA61" s="75">
        <v>22736.497299999999</v>
      </c>
    </row>
    <row r="62" spans="2:27">
      <c r="B62" s="575" t="s">
        <v>144</v>
      </c>
      <c r="C62" s="575"/>
      <c r="D62" s="98" t="s">
        <v>266</v>
      </c>
      <c r="E62" s="101">
        <f>$N$38*U15</f>
        <v>331.66399999999999</v>
      </c>
      <c r="F62" s="101">
        <f t="shared" ref="F62:H62" si="47">$N$38*V15</f>
        <v>78.551999999999992</v>
      </c>
      <c r="G62" s="101">
        <f t="shared" si="47"/>
        <v>451.67399999999998</v>
      </c>
      <c r="H62" s="101">
        <f t="shared" si="47"/>
        <v>229.10999999999999</v>
      </c>
      <c r="I62" s="101">
        <f t="shared" ref="I62:I65" si="48">SUM(E62:H62)</f>
        <v>1091</v>
      </c>
      <c r="J62" s="98" t="b">
        <f>I62=N38</f>
        <v>1</v>
      </c>
      <c r="L62" s="575" t="s">
        <v>144</v>
      </c>
      <c r="M62" s="575"/>
      <c r="N62" s="98" t="s">
        <v>266</v>
      </c>
      <c r="O62" s="101">
        <f>$Q$38*U15</f>
        <v>326.19200000000001</v>
      </c>
      <c r="P62" s="101">
        <f t="shared" ref="P62:R62" si="49">$Q$38*V15</f>
        <v>77.256</v>
      </c>
      <c r="Q62" s="101">
        <f t="shared" si="49"/>
        <v>444.22199999999998</v>
      </c>
      <c r="R62" s="101">
        <f t="shared" si="49"/>
        <v>225.32999999999998</v>
      </c>
      <c r="S62" s="101">
        <f t="shared" ref="S62:S65" si="50">SUM(O62:R62)</f>
        <v>1073</v>
      </c>
      <c r="T62" s="98" t="b">
        <f>S62=Q38</f>
        <v>1</v>
      </c>
      <c r="Y62" t="s">
        <v>143</v>
      </c>
      <c r="Z62" t="s">
        <v>123</v>
      </c>
      <c r="AA62" s="75">
        <v>11592.5041</v>
      </c>
    </row>
    <row r="63" spans="2:27">
      <c r="B63" s="575"/>
      <c r="C63" s="575"/>
      <c r="D63" s="98" t="s">
        <v>267</v>
      </c>
      <c r="E63" s="101">
        <f>$O$38*U16</f>
        <v>884.976</v>
      </c>
      <c r="F63" s="101">
        <f t="shared" ref="F63:H63" si="51">$O$38*V16</f>
        <v>217.66399999999999</v>
      </c>
      <c r="G63" s="101">
        <f t="shared" si="51"/>
        <v>1062.5440000000001</v>
      </c>
      <c r="H63" s="101">
        <f t="shared" si="51"/>
        <v>698.81600000000003</v>
      </c>
      <c r="I63" s="101">
        <f t="shared" si="48"/>
        <v>2864</v>
      </c>
      <c r="J63" s="98" t="b">
        <f>I63=O38</f>
        <v>1</v>
      </c>
      <c r="L63" s="575"/>
      <c r="M63" s="575"/>
      <c r="N63" s="98" t="s">
        <v>267</v>
      </c>
      <c r="O63" s="101">
        <f>$R$38*U16</f>
        <v>884.66700000000003</v>
      </c>
      <c r="P63" s="101">
        <f t="shared" ref="P63:R63" si="52">$R$38*V16</f>
        <v>217.58799999999999</v>
      </c>
      <c r="Q63" s="101">
        <f t="shared" si="52"/>
        <v>1062.173</v>
      </c>
      <c r="R63" s="101">
        <f t="shared" si="52"/>
        <v>698.572</v>
      </c>
      <c r="S63" s="101">
        <f t="shared" si="50"/>
        <v>2863</v>
      </c>
      <c r="T63" s="98" t="b">
        <f>S63=R38</f>
        <v>1</v>
      </c>
      <c r="Y63" t="s">
        <v>144</v>
      </c>
      <c r="Z63" t="s">
        <v>125</v>
      </c>
      <c r="AA63" s="75">
        <v>11518.725399999999</v>
      </c>
    </row>
    <row r="64" spans="2:27" ht="16.5" customHeight="1">
      <c r="B64" s="575" t="s">
        <v>270</v>
      </c>
      <c r="C64" s="575"/>
      <c r="D64" s="98" t="s">
        <v>266</v>
      </c>
      <c r="E64" s="101">
        <f>$N$39*U11</f>
        <v>90.128</v>
      </c>
      <c r="F64" s="101">
        <f t="shared" ref="F64:H64" si="53">$N$39*V11</f>
        <v>25.8</v>
      </c>
      <c r="G64" s="101">
        <f t="shared" si="53"/>
        <v>205.71199999999999</v>
      </c>
      <c r="H64" s="101">
        <f t="shared" si="53"/>
        <v>22.36</v>
      </c>
      <c r="I64" s="101">
        <f t="shared" si="48"/>
        <v>344</v>
      </c>
      <c r="J64" s="98" t="b">
        <f>I64=N39</f>
        <v>1</v>
      </c>
      <c r="L64" s="575" t="s">
        <v>270</v>
      </c>
      <c r="M64" s="575"/>
      <c r="N64" s="98" t="s">
        <v>266</v>
      </c>
      <c r="O64" s="101">
        <f>$Q$39*U11</f>
        <v>88.555999999999997</v>
      </c>
      <c r="P64" s="101">
        <f t="shared" ref="P64:R64" si="54">$Q$39*V11</f>
        <v>25.349999999999998</v>
      </c>
      <c r="Q64" s="101">
        <f t="shared" si="54"/>
        <v>202.124</v>
      </c>
      <c r="R64" s="101">
        <f t="shared" si="54"/>
        <v>21.970000000000002</v>
      </c>
      <c r="S64" s="101">
        <f t="shared" si="50"/>
        <v>338</v>
      </c>
      <c r="T64" s="98" t="b">
        <f>S64=Q39</f>
        <v>1</v>
      </c>
      <c r="Y64" t="s">
        <v>24</v>
      </c>
      <c r="Z64" t="s">
        <v>126</v>
      </c>
      <c r="AA64" s="75">
        <v>8739.51</v>
      </c>
    </row>
    <row r="65" spans="2:27">
      <c r="B65" s="575"/>
      <c r="C65" s="575"/>
      <c r="D65" s="98" t="s">
        <v>267</v>
      </c>
      <c r="E65" s="101">
        <f>$O$39*U12</f>
        <v>497.25</v>
      </c>
      <c r="F65" s="101">
        <f t="shared" ref="F65:H65" si="55">$O$39*V12</f>
        <v>173.25</v>
      </c>
      <c r="G65" s="101">
        <f t="shared" si="55"/>
        <v>1424.25</v>
      </c>
      <c r="H65" s="101">
        <f t="shared" si="55"/>
        <v>155.25</v>
      </c>
      <c r="I65" s="101">
        <f t="shared" si="48"/>
        <v>2250</v>
      </c>
      <c r="J65" s="98" t="b">
        <f>I65=O39</f>
        <v>1</v>
      </c>
      <c r="L65" s="575"/>
      <c r="M65" s="575"/>
      <c r="N65" s="98" t="s">
        <v>267</v>
      </c>
      <c r="O65" s="101">
        <f>$R$39*U12</f>
        <v>497.029</v>
      </c>
      <c r="P65" s="101">
        <f t="shared" ref="P65:R65" si="56">$R$39*V12</f>
        <v>173.173</v>
      </c>
      <c r="Q65" s="101">
        <f t="shared" si="56"/>
        <v>1423.617</v>
      </c>
      <c r="R65" s="101">
        <f t="shared" si="56"/>
        <v>155.18100000000001</v>
      </c>
      <c r="S65" s="101">
        <f t="shared" si="50"/>
        <v>2249</v>
      </c>
      <c r="T65" s="98" t="b">
        <f>S65=R39</f>
        <v>1</v>
      </c>
      <c r="Y65" t="s">
        <v>146</v>
      </c>
      <c r="Z65" t="s">
        <v>127</v>
      </c>
      <c r="AA65" s="75">
        <v>2599.7966999999999</v>
      </c>
    </row>
    <row r="66" spans="2:27">
      <c r="Y66" t="s">
        <v>146</v>
      </c>
      <c r="Z66" t="s">
        <v>128</v>
      </c>
      <c r="AA66" s="75">
        <v>1032.4983</v>
      </c>
    </row>
    <row r="67" spans="2:27">
      <c r="Y67" t="s">
        <v>146</v>
      </c>
      <c r="Z67" t="s">
        <v>130</v>
      </c>
      <c r="AA67" s="75">
        <v>1625.5998999999999</v>
      </c>
    </row>
    <row r="68" spans="2:27">
      <c r="Y68" t="s">
        <v>146</v>
      </c>
      <c r="Z68" t="s">
        <v>131</v>
      </c>
      <c r="AA68" s="75">
        <v>2880.0880999999999</v>
      </c>
    </row>
    <row r="69" spans="2:27" ht="23">
      <c r="B69" s="102" t="s">
        <v>355</v>
      </c>
      <c r="L69" s="102" t="s">
        <v>356</v>
      </c>
      <c r="Y69" t="s">
        <v>146</v>
      </c>
      <c r="Z69" t="s">
        <v>132</v>
      </c>
      <c r="AA69" s="75">
        <v>687.99680000000001</v>
      </c>
    </row>
    <row r="70" spans="2:27" ht="16.5" customHeight="1">
      <c r="Y70" t="s">
        <v>146</v>
      </c>
      <c r="Z70" t="s">
        <v>133</v>
      </c>
      <c r="AA70" s="75">
        <v>2308.0711000000001</v>
      </c>
    </row>
    <row r="71" spans="2:27" ht="16.5" customHeight="1">
      <c r="G71" t="s">
        <v>277</v>
      </c>
      <c r="Y71" t="s">
        <v>146</v>
      </c>
      <c r="Z71" t="s">
        <v>134</v>
      </c>
      <c r="AA71" s="75">
        <v>4090.5911999999998</v>
      </c>
    </row>
    <row r="72" spans="2:27">
      <c r="C72" s="580" t="s">
        <v>27</v>
      </c>
      <c r="D72" s="580"/>
      <c r="E72" s="160" t="s">
        <v>261</v>
      </c>
      <c r="F72" s="160" t="s">
        <v>262</v>
      </c>
      <c r="G72" s="160" t="s">
        <v>357</v>
      </c>
      <c r="I72" s="100" t="s">
        <v>264</v>
      </c>
      <c r="J72" s="100" t="s">
        <v>265</v>
      </c>
      <c r="M72" s="580" t="s">
        <v>27</v>
      </c>
      <c r="N72" s="580"/>
      <c r="O72" s="160" t="s">
        <v>261</v>
      </c>
      <c r="P72" s="160" t="s">
        <v>262</v>
      </c>
      <c r="Q72" s="160" t="s">
        <v>358</v>
      </c>
    </row>
    <row r="73" spans="2:27" ht="16.5" customHeight="1">
      <c r="C73" s="574" t="s">
        <v>135</v>
      </c>
      <c r="D73" s="574"/>
      <c r="E73" s="161"/>
      <c r="F73" s="161"/>
      <c r="G73" s="161"/>
      <c r="I73" s="98"/>
      <c r="J73" s="98"/>
      <c r="M73" s="574" t="s">
        <v>135</v>
      </c>
      <c r="N73" s="574"/>
      <c r="O73" s="161"/>
      <c r="P73" s="161"/>
      <c r="Q73" s="161"/>
    </row>
    <row r="74" spans="2:27">
      <c r="C74" s="574" t="s">
        <v>136</v>
      </c>
      <c r="D74" s="574"/>
      <c r="E74" s="162">
        <f>SUM(E$46:E$47)/$L$7</f>
        <v>166.07943262411348</v>
      </c>
      <c r="F74" s="162">
        <f>SUM(F$46:F$47)/$M$7</f>
        <v>52.894666666666666</v>
      </c>
      <c r="G74" s="162">
        <f>SUM(G$46:G$47)/$O$7</f>
        <v>22.566585620006947</v>
      </c>
      <c r="I74" s="98"/>
      <c r="J74" s="98"/>
      <c r="M74" s="574" t="s">
        <v>136</v>
      </c>
      <c r="N74" s="574"/>
      <c r="O74" s="162">
        <f>SUM(O$46:O$47)/$L$7</f>
        <v>165.52198581560285</v>
      </c>
      <c r="P74" s="162">
        <f>SUM(P$46:P$47)/$M$7</f>
        <v>52.744666666666667</v>
      </c>
      <c r="Q74" s="162">
        <f>SUM(Q$46:Q$47)/$O$7</f>
        <v>22.50427231677666</v>
      </c>
    </row>
    <row r="75" spans="2:27" ht="16.5" customHeight="1">
      <c r="C75" s="574" t="s">
        <v>137</v>
      </c>
      <c r="D75" s="574"/>
      <c r="E75" s="162">
        <f>SUM(E$48:E$49)/$L$7</f>
        <v>1481.9652482269503</v>
      </c>
      <c r="F75" s="162">
        <f>SUM(F$48:F$49)/$M$7</f>
        <v>340.72800000000001</v>
      </c>
      <c r="G75" s="162">
        <f>SUM(G$48:G$49)/$O$7</f>
        <v>88.892427926363325</v>
      </c>
      <c r="I75" s="98"/>
      <c r="J75" s="98"/>
      <c r="M75" s="574" t="s">
        <v>137</v>
      </c>
      <c r="N75" s="574"/>
      <c r="O75" s="162">
        <f>SUM(O$48:O$49)/$L$7</f>
        <v>1477.8617021276596</v>
      </c>
      <c r="P75" s="162">
        <f>SUM(P$48:P$49)/$M$7</f>
        <v>339.81066666666669</v>
      </c>
      <c r="Q75" s="162">
        <f>SUM(Q$48:Q$49)/$O$7</f>
        <v>88.622195206668991</v>
      </c>
    </row>
    <row r="76" spans="2:27">
      <c r="C76" s="574" t="s">
        <v>139</v>
      </c>
      <c r="D76" s="574"/>
      <c r="E76" s="162">
        <f>SUM(E$50:E$51)/$L$7</f>
        <v>11632.46595744681</v>
      </c>
      <c r="F76" s="162">
        <f>SUM(F$50:F$51)/$M$7</f>
        <v>1528.4486666666664</v>
      </c>
      <c r="G76" s="162">
        <f>SUM(G$50:G$51)/$O$7</f>
        <v>462.25585272664119</v>
      </c>
      <c r="I76" s="98"/>
      <c r="J76" s="98"/>
      <c r="M76" s="574" t="s">
        <v>139</v>
      </c>
      <c r="N76" s="574"/>
      <c r="O76" s="162">
        <f>SUM(O$50:O$51)/$L$7</f>
        <v>11501.352482269504</v>
      </c>
      <c r="P76" s="162">
        <f>SUM(P$50:P$51)/$M$7</f>
        <v>1512.0919999999999</v>
      </c>
      <c r="Q76" s="162">
        <f>SUM(Q$50:Q$51)/$O$7</f>
        <v>456.47172629385199</v>
      </c>
    </row>
    <row r="77" spans="2:27" ht="16.5" customHeight="1">
      <c r="C77" s="574" t="s">
        <v>43</v>
      </c>
      <c r="D77" s="574"/>
      <c r="E77" s="162">
        <f>SUM(E$52:E$53)/$L$7</f>
        <v>1022.0297872340427</v>
      </c>
      <c r="F77" s="162">
        <f>SUM(F$52:F$53)/$M$7</f>
        <v>130.78666666666666</v>
      </c>
      <c r="G77" s="162">
        <f>SUM(G$52:G$53)/$O$7</f>
        <v>42.921917332407077</v>
      </c>
      <c r="I77" s="98"/>
      <c r="J77" s="98"/>
      <c r="M77" s="574" t="s">
        <v>43</v>
      </c>
      <c r="N77" s="574"/>
      <c r="O77" s="162">
        <f>SUM(O$52:O$53)/$L$7</f>
        <v>1007.831205673759</v>
      </c>
      <c r="P77" s="162">
        <f>SUM(P$52:P$53)/$M$7</f>
        <v>129.01866666666663</v>
      </c>
      <c r="Q77" s="162">
        <f>SUM(Q$52:Q$53)/$O$7</f>
        <v>42.293365751997214</v>
      </c>
    </row>
    <row r="78" spans="2:27">
      <c r="C78" s="574" t="s">
        <v>141</v>
      </c>
      <c r="D78" s="574"/>
      <c r="E78" s="162">
        <f>SUM(E$54:E$55)/$L$7</f>
        <v>928.12056737588648</v>
      </c>
      <c r="F78" s="162">
        <f>SUM(F$54:F$55)/$M$7</f>
        <v>119.776</v>
      </c>
      <c r="G78" s="162">
        <f>SUM(G$54:G$55)/$O$7</f>
        <v>38.314762070163248</v>
      </c>
      <c r="I78" s="98"/>
      <c r="J78" s="98"/>
      <c r="M78" s="574" t="s">
        <v>141</v>
      </c>
      <c r="N78" s="574"/>
      <c r="O78" s="162">
        <f>SUM(O$54:O$55)/$L$7</f>
        <v>916.10638297872345</v>
      </c>
      <c r="P78" s="162">
        <f>SUM(P$54:P$55)/$M$7</f>
        <v>118.27999999999999</v>
      </c>
      <c r="Q78" s="162">
        <f>SUM(Q$54:Q$55)/$O$7</f>
        <v>37.782910732893363</v>
      </c>
    </row>
    <row r="79" spans="2:27">
      <c r="C79" s="103" t="s">
        <v>142</v>
      </c>
      <c r="D79" s="103" t="s">
        <v>21</v>
      </c>
      <c r="E79" s="162"/>
      <c r="F79" s="162"/>
      <c r="G79" s="162"/>
      <c r="I79" s="98"/>
      <c r="J79" s="98"/>
      <c r="M79" s="103" t="s">
        <v>142</v>
      </c>
      <c r="N79" s="103" t="s">
        <v>21</v>
      </c>
      <c r="O79" s="162"/>
      <c r="P79" s="162"/>
      <c r="Q79" s="162"/>
    </row>
    <row r="80" spans="2:27">
      <c r="C80" s="103" t="s">
        <v>19</v>
      </c>
      <c r="D80" s="103" t="s">
        <v>14</v>
      </c>
      <c r="E80" s="162">
        <f>SUM(E$56:E$57)/$L$7</f>
        <v>1147.0517730496454</v>
      </c>
      <c r="F80" s="162">
        <f>SUM(F$56:F$57)/$M$7</f>
        <v>263.72533333333337</v>
      </c>
      <c r="G80" s="162">
        <f>SUM(G$56:G$57)/$O$7</f>
        <v>68.803924973949279</v>
      </c>
      <c r="I80" s="98"/>
      <c r="J80" s="98"/>
      <c r="M80" s="103" t="s">
        <v>19</v>
      </c>
      <c r="N80" s="103" t="s">
        <v>14</v>
      </c>
      <c r="O80" s="162">
        <f>SUM(O$56:O$57)/$L$7</f>
        <v>1143.8106382978724</v>
      </c>
      <c r="P80" s="162">
        <f>SUM(P$56:P$57)/$M$7</f>
        <v>262.99999999999994</v>
      </c>
      <c r="Q80" s="162">
        <f>SUM(Q$56:Q$57)/$O$7</f>
        <v>68.591212226467519</v>
      </c>
    </row>
    <row r="81" spans="3:40" ht="17.25" customHeight="1">
      <c r="C81" s="103" t="s">
        <v>20</v>
      </c>
      <c r="D81" s="103" t="s">
        <v>13</v>
      </c>
      <c r="E81" s="162">
        <f>SUM(E$58:E$59)/$L$7</f>
        <v>740.19929078014195</v>
      </c>
      <c r="F81" s="162">
        <f>SUM(F$58:F$59)/$M$7</f>
        <v>235.77933333333331</v>
      </c>
      <c r="G81" s="162">
        <f>SUM(G$58:G$59)/$O$7</f>
        <v>100.59315734630081</v>
      </c>
      <c r="I81" s="98"/>
      <c r="J81" s="98"/>
      <c r="M81" s="103" t="s">
        <v>20</v>
      </c>
      <c r="N81" s="103" t="s">
        <v>13</v>
      </c>
      <c r="O81" s="162">
        <f>SUM(O$58:O$59)/$L$7</f>
        <v>738.02765957446809</v>
      </c>
      <c r="P81" s="162">
        <f>SUM(P$58:P$59)/$M$7</f>
        <v>235.17666666666665</v>
      </c>
      <c r="Q81" s="162">
        <f>SUM(Q$58:Q$59)/$O$7</f>
        <v>100.34147273358806</v>
      </c>
    </row>
    <row r="82" spans="3:40" ht="17.5" thickBot="1">
      <c r="C82" s="104"/>
      <c r="D82" s="103" t="s">
        <v>23</v>
      </c>
      <c r="E82" s="162">
        <f>SUM(E$60:E$61)/$L$7</f>
        <v>688.91205673758873</v>
      </c>
      <c r="F82" s="162">
        <f>SUM(F$60:F$61)/$M$7</f>
        <v>156.21733333333333</v>
      </c>
      <c r="G82" s="162">
        <f>SUM(G$60:G$61)/$O$7</f>
        <v>42.035498436957276</v>
      </c>
      <c r="I82" s="98"/>
      <c r="J82" s="98"/>
      <c r="M82" s="104"/>
      <c r="N82" s="103" t="s">
        <v>23</v>
      </c>
      <c r="O82" s="162">
        <f>SUM(O$60:O$61)/$L$7</f>
        <v>681.39929078014177</v>
      </c>
      <c r="P82" s="162">
        <f>SUM(P$60:P$61)/$M$7</f>
        <v>154.63333333333333</v>
      </c>
      <c r="Q82" s="162">
        <f>SUM(Q$60:Q$61)/$O$7</f>
        <v>41.552935046891285</v>
      </c>
      <c r="AF82" s="8">
        <v>6288</v>
      </c>
      <c r="AG82" s="8">
        <v>5368</v>
      </c>
      <c r="AH82" s="8">
        <v>6892</v>
      </c>
      <c r="AI82" s="8">
        <v>1592</v>
      </c>
      <c r="AJ82" s="8">
        <v>1224</v>
      </c>
      <c r="AK82" s="8">
        <v>4076</v>
      </c>
      <c r="AL82" s="8">
        <v>2182</v>
      </c>
      <c r="AM82" s="9">
        <v>688</v>
      </c>
      <c r="AN82" s="17">
        <v>82104</v>
      </c>
    </row>
    <row r="83" spans="3:40" ht="18" customHeight="1" thickTop="1" thickBot="1">
      <c r="C83" s="574" t="s">
        <v>144</v>
      </c>
      <c r="D83" s="574"/>
      <c r="E83" s="162">
        <f>SUM(E$62:E$63)/$L$7</f>
        <v>862.86524822695026</v>
      </c>
      <c r="F83" s="162">
        <f>SUM(F$62:F$63)/$M$7</f>
        <v>197.47733333333335</v>
      </c>
      <c r="G83" s="162">
        <f>SUM(G$62:G$63)/$O$7</f>
        <v>52.595276137547764</v>
      </c>
      <c r="I83" s="98"/>
      <c r="J83" s="98"/>
      <c r="M83" s="574" t="s">
        <v>144</v>
      </c>
      <c r="N83" s="574"/>
      <c r="O83" s="162">
        <f>SUM(O$62:O$63)/$L$7</f>
        <v>858.76524822695035</v>
      </c>
      <c r="P83" s="162">
        <f>SUM(P$62:P$63)/$M$7</f>
        <v>196.56266666666667</v>
      </c>
      <c r="Q83" s="162">
        <f>SUM(Q$62:Q$63)/$O$7</f>
        <v>52.32354984369573</v>
      </c>
      <c r="AF83" s="8">
        <v>1156</v>
      </c>
      <c r="AG83" s="8">
        <v>1380</v>
      </c>
      <c r="AH83" s="8">
        <v>18740</v>
      </c>
      <c r="AI83" s="8">
        <v>8902</v>
      </c>
      <c r="AJ83" s="8">
        <v>7994</v>
      </c>
      <c r="AK83" s="8">
        <v>1844</v>
      </c>
      <c r="AL83" s="8">
        <v>5728</v>
      </c>
      <c r="AM83" s="8">
        <v>4500</v>
      </c>
      <c r="AN83" s="17">
        <v>71140</v>
      </c>
    </row>
    <row r="84" spans="3:40" ht="18" thickTop="1" thickBot="1">
      <c r="C84" s="574" t="s">
        <v>145</v>
      </c>
      <c r="D84" s="574"/>
      <c r="E84" s="162">
        <f>SUM(E$64:E$65)/$L$7</f>
        <v>416.58014184397166</v>
      </c>
      <c r="F84" s="162">
        <f>SUM(F$64:F$65)/$M$7</f>
        <v>132.70000000000002</v>
      </c>
      <c r="G84" s="162">
        <f>SUM(G$64:G$65)/$O$7</f>
        <v>56.615560958666208</v>
      </c>
      <c r="I84" s="98"/>
      <c r="J84" s="98"/>
      <c r="M84" s="574" t="s">
        <v>145</v>
      </c>
      <c r="N84" s="574"/>
      <c r="O84" s="162">
        <f>SUM(O$64:O$65)/$L$7</f>
        <v>415.30851063829795</v>
      </c>
      <c r="P84" s="162">
        <f>SUM(P$64:P$65)/$M$7</f>
        <v>132.34866666666667</v>
      </c>
      <c r="Q84" s="162">
        <f>SUM(Q$64:Q$65)/$O$7</f>
        <v>56.468947551233072</v>
      </c>
      <c r="AF84" s="8">
        <v>7444</v>
      </c>
      <c r="AG84" s="8">
        <v>6748</v>
      </c>
      <c r="AH84" s="8">
        <v>25632</v>
      </c>
      <c r="AI84" s="8">
        <v>10494</v>
      </c>
      <c r="AJ84" s="8">
        <v>9218</v>
      </c>
      <c r="AK84" s="8">
        <v>5920</v>
      </c>
      <c r="AL84" s="8">
        <v>7910</v>
      </c>
      <c r="AM84" s="8">
        <v>5188</v>
      </c>
      <c r="AN84" s="17">
        <v>153244</v>
      </c>
    </row>
    <row r="85" spans="3:40" ht="18" thickTop="1" thickBot="1">
      <c r="C85" s="574" t="s">
        <v>26</v>
      </c>
      <c r="D85" s="574"/>
      <c r="E85" s="161"/>
      <c r="F85" s="161"/>
      <c r="G85" s="161"/>
      <c r="I85" s="98"/>
      <c r="J85" s="98"/>
      <c r="M85" s="574" t="s">
        <v>26</v>
      </c>
      <c r="N85" s="574"/>
      <c r="O85" s="161"/>
      <c r="P85" s="161"/>
      <c r="Q85" s="161"/>
      <c r="AF85" s="8">
        <v>6184</v>
      </c>
      <c r="AG85" s="8">
        <v>5280</v>
      </c>
      <c r="AH85" s="8">
        <v>6780</v>
      </c>
      <c r="AI85" s="8">
        <v>1566</v>
      </c>
      <c r="AJ85" s="8">
        <v>1204</v>
      </c>
      <c r="AK85" s="8">
        <v>4010</v>
      </c>
      <c r="AL85" s="8">
        <v>2146</v>
      </c>
      <c r="AM85" s="9">
        <v>676</v>
      </c>
      <c r="AN85" s="17">
        <v>80762</v>
      </c>
    </row>
    <row r="86" spans="3:40" ht="18" thickTop="1" thickBot="1">
      <c r="AF86" s="8">
        <v>1156</v>
      </c>
      <c r="AG86" s="8">
        <v>1380</v>
      </c>
      <c r="AH86" s="8">
        <v>18732</v>
      </c>
      <c r="AI86" s="8">
        <v>8898</v>
      </c>
      <c r="AJ86" s="8">
        <v>7990</v>
      </c>
      <c r="AK86" s="8">
        <v>1844</v>
      </c>
      <c r="AL86" s="8">
        <v>5726</v>
      </c>
      <c r="AM86" s="8">
        <v>4498</v>
      </c>
      <c r="AN86" s="17">
        <v>71114</v>
      </c>
    </row>
    <row r="87" spans="3:40" ht="45" thickTop="1" thickBot="1">
      <c r="J87" s="26" t="s">
        <v>48</v>
      </c>
      <c r="AF87" s="11">
        <v>7340</v>
      </c>
      <c r="AG87" s="11">
        <v>6660</v>
      </c>
      <c r="AH87" s="11">
        <v>25512</v>
      </c>
      <c r="AI87" s="11">
        <v>10464</v>
      </c>
      <c r="AJ87" s="11">
        <v>9194</v>
      </c>
      <c r="AK87" s="11">
        <v>5854</v>
      </c>
      <c r="AL87" s="11">
        <v>7872</v>
      </c>
      <c r="AM87" s="11">
        <v>5174</v>
      </c>
      <c r="AN87" s="18">
        <v>151876</v>
      </c>
    </row>
    <row r="88" spans="3:40" ht="21.5" thickTop="1" thickBot="1">
      <c r="K88" s="25" t="s">
        <v>69</v>
      </c>
    </row>
    <row r="89" spans="3:40" ht="17.5" thickTop="1">
      <c r="K89" s="595" t="s">
        <v>49</v>
      </c>
      <c r="L89" s="587" t="s">
        <v>50</v>
      </c>
      <c r="M89" s="597"/>
      <c r="N89" s="587" t="s">
        <v>51</v>
      </c>
      <c r="O89" s="597"/>
      <c r="P89" s="587" t="s">
        <v>52</v>
      </c>
      <c r="Q89" s="597"/>
      <c r="R89" s="587" t="s">
        <v>53</v>
      </c>
      <c r="S89" s="588"/>
      <c r="T89" s="589"/>
    </row>
    <row r="90" spans="3:40" ht="17.5" thickBot="1">
      <c r="K90" s="596"/>
      <c r="L90" s="27" t="s">
        <v>40</v>
      </c>
      <c r="M90" s="27" t="s">
        <v>41</v>
      </c>
      <c r="N90" s="27" t="s">
        <v>40</v>
      </c>
      <c r="O90" s="27" t="s">
        <v>41</v>
      </c>
      <c r="P90" s="27" t="s">
        <v>40</v>
      </c>
      <c r="Q90" s="27" t="s">
        <v>41</v>
      </c>
      <c r="R90" s="27" t="s">
        <v>40</v>
      </c>
      <c r="S90" s="27" t="s">
        <v>41</v>
      </c>
      <c r="T90" s="28" t="s">
        <v>21</v>
      </c>
    </row>
    <row r="91" spans="3:40" ht="17.5" thickTop="1">
      <c r="K91" s="22" t="s">
        <v>54</v>
      </c>
      <c r="L91" s="6">
        <v>15</v>
      </c>
      <c r="M91" s="6">
        <v>15</v>
      </c>
      <c r="N91" s="6">
        <v>8</v>
      </c>
      <c r="O91" s="6">
        <v>8</v>
      </c>
      <c r="P91" s="6">
        <v>16</v>
      </c>
      <c r="Q91" s="6">
        <v>16</v>
      </c>
      <c r="R91" s="6">
        <v>39</v>
      </c>
      <c r="S91" s="6">
        <v>39</v>
      </c>
      <c r="T91" s="7">
        <v>78</v>
      </c>
    </row>
    <row r="92" spans="3:40">
      <c r="K92" s="23" t="s">
        <v>55</v>
      </c>
      <c r="L92" s="9">
        <v>17</v>
      </c>
      <c r="M92" s="9">
        <v>17</v>
      </c>
      <c r="N92" s="9">
        <v>9</v>
      </c>
      <c r="O92" s="9">
        <v>9</v>
      </c>
      <c r="P92" s="9">
        <v>18</v>
      </c>
      <c r="Q92" s="9">
        <v>18</v>
      </c>
      <c r="R92" s="9">
        <v>44</v>
      </c>
      <c r="S92" s="9">
        <v>44</v>
      </c>
      <c r="T92" s="10">
        <v>88</v>
      </c>
    </row>
    <row r="93" spans="3:40">
      <c r="K93" s="23" t="s">
        <v>56</v>
      </c>
      <c r="L93" s="9">
        <v>17</v>
      </c>
      <c r="M93" s="9">
        <v>17</v>
      </c>
      <c r="N93" s="9">
        <v>9</v>
      </c>
      <c r="O93" s="9">
        <v>9</v>
      </c>
      <c r="P93" s="9">
        <v>18</v>
      </c>
      <c r="Q93" s="9">
        <v>18</v>
      </c>
      <c r="R93" s="9">
        <v>44</v>
      </c>
      <c r="S93" s="9">
        <v>44</v>
      </c>
      <c r="T93" s="10">
        <v>88</v>
      </c>
    </row>
    <row r="94" spans="3:40">
      <c r="K94" s="23" t="s">
        <v>57</v>
      </c>
      <c r="L94" s="9">
        <v>60</v>
      </c>
      <c r="M94" s="9">
        <v>60</v>
      </c>
      <c r="N94" s="9">
        <v>33</v>
      </c>
      <c r="O94" s="9">
        <v>33</v>
      </c>
      <c r="P94" s="9">
        <v>65</v>
      </c>
      <c r="Q94" s="9">
        <v>65</v>
      </c>
      <c r="R94" s="9">
        <v>158</v>
      </c>
      <c r="S94" s="9">
        <v>158</v>
      </c>
      <c r="T94" s="10">
        <v>316</v>
      </c>
    </row>
    <row r="95" spans="3:40">
      <c r="K95" s="23" t="s">
        <v>58</v>
      </c>
      <c r="L95" s="9">
        <v>103</v>
      </c>
      <c r="M95" s="9">
        <v>103</v>
      </c>
      <c r="N95" s="9">
        <v>56</v>
      </c>
      <c r="O95" s="9">
        <v>56</v>
      </c>
      <c r="P95" s="9">
        <v>112</v>
      </c>
      <c r="Q95" s="9">
        <v>112</v>
      </c>
      <c r="R95" s="9">
        <v>271</v>
      </c>
      <c r="S95" s="9">
        <v>271</v>
      </c>
      <c r="T95" s="10">
        <v>542</v>
      </c>
    </row>
    <row r="96" spans="3:40">
      <c r="K96" s="23" t="s">
        <v>59</v>
      </c>
      <c r="L96" s="9">
        <v>94</v>
      </c>
      <c r="M96" s="9">
        <v>94</v>
      </c>
      <c r="N96" s="9">
        <v>52</v>
      </c>
      <c r="O96" s="9">
        <v>52</v>
      </c>
      <c r="P96" s="9">
        <v>103</v>
      </c>
      <c r="Q96" s="9">
        <v>103</v>
      </c>
      <c r="R96" s="9">
        <v>249</v>
      </c>
      <c r="S96" s="9">
        <v>249</v>
      </c>
      <c r="T96" s="10">
        <v>498</v>
      </c>
    </row>
    <row r="97" spans="11:20">
      <c r="K97" s="23" t="s">
        <v>60</v>
      </c>
      <c r="L97" s="9">
        <v>26</v>
      </c>
      <c r="M97" s="9">
        <v>26</v>
      </c>
      <c r="N97" s="9">
        <v>14</v>
      </c>
      <c r="O97" s="9">
        <v>14</v>
      </c>
      <c r="P97" s="9">
        <v>28</v>
      </c>
      <c r="Q97" s="9">
        <v>28</v>
      </c>
      <c r="R97" s="9">
        <v>68</v>
      </c>
      <c r="S97" s="9">
        <v>68</v>
      </c>
      <c r="T97" s="10">
        <v>136</v>
      </c>
    </row>
    <row r="98" spans="11:20">
      <c r="K98" s="23" t="s">
        <v>61</v>
      </c>
      <c r="L98" s="9">
        <v>69</v>
      </c>
      <c r="M98" s="9">
        <v>69</v>
      </c>
      <c r="N98" s="9">
        <v>38</v>
      </c>
      <c r="O98" s="9">
        <v>38</v>
      </c>
      <c r="P98" s="9">
        <v>74</v>
      </c>
      <c r="Q98" s="9">
        <v>74</v>
      </c>
      <c r="R98" s="9">
        <v>181</v>
      </c>
      <c r="S98" s="9">
        <v>181</v>
      </c>
      <c r="T98" s="10">
        <v>362</v>
      </c>
    </row>
    <row r="99" spans="11:20">
      <c r="K99" s="23" t="s">
        <v>62</v>
      </c>
      <c r="L99" s="9">
        <v>60</v>
      </c>
      <c r="M99" s="9">
        <v>60</v>
      </c>
      <c r="N99" s="9">
        <v>33</v>
      </c>
      <c r="O99" s="9">
        <v>33</v>
      </c>
      <c r="P99" s="9">
        <v>65</v>
      </c>
      <c r="Q99" s="9">
        <v>65</v>
      </c>
      <c r="R99" s="9">
        <v>158</v>
      </c>
      <c r="S99" s="9">
        <v>158</v>
      </c>
      <c r="T99" s="10">
        <v>316</v>
      </c>
    </row>
    <row r="100" spans="11:20">
      <c r="K100" s="23" t="s">
        <v>63</v>
      </c>
      <c r="L100" s="9">
        <v>69</v>
      </c>
      <c r="M100" s="9">
        <v>69</v>
      </c>
      <c r="N100" s="9">
        <v>38</v>
      </c>
      <c r="O100" s="9">
        <v>38</v>
      </c>
      <c r="P100" s="9">
        <v>74</v>
      </c>
      <c r="Q100" s="9">
        <v>74</v>
      </c>
      <c r="R100" s="9">
        <v>181</v>
      </c>
      <c r="S100" s="9">
        <v>181</v>
      </c>
      <c r="T100" s="10">
        <v>362</v>
      </c>
    </row>
    <row r="101" spans="11:20">
      <c r="K101" s="23" t="s">
        <v>64</v>
      </c>
      <c r="L101" s="9">
        <v>77</v>
      </c>
      <c r="M101" s="9">
        <v>77</v>
      </c>
      <c r="N101" s="9">
        <v>42</v>
      </c>
      <c r="O101" s="9">
        <v>42</v>
      </c>
      <c r="P101" s="9">
        <v>84</v>
      </c>
      <c r="Q101" s="9">
        <v>84</v>
      </c>
      <c r="R101" s="9">
        <v>203</v>
      </c>
      <c r="S101" s="9">
        <v>203</v>
      </c>
      <c r="T101" s="10">
        <v>406</v>
      </c>
    </row>
    <row r="102" spans="11:20">
      <c r="K102" s="23" t="s">
        <v>65</v>
      </c>
      <c r="L102" s="9">
        <v>77</v>
      </c>
      <c r="M102" s="9">
        <v>77</v>
      </c>
      <c r="N102" s="9">
        <v>42</v>
      </c>
      <c r="O102" s="9">
        <v>42</v>
      </c>
      <c r="P102" s="9">
        <v>84</v>
      </c>
      <c r="Q102" s="9">
        <v>84</v>
      </c>
      <c r="R102" s="9">
        <v>203</v>
      </c>
      <c r="S102" s="9">
        <v>203</v>
      </c>
      <c r="T102" s="10">
        <v>406</v>
      </c>
    </row>
    <row r="103" spans="11:20">
      <c r="K103" s="23" t="s">
        <v>66</v>
      </c>
      <c r="L103" s="9">
        <v>43</v>
      </c>
      <c r="M103" s="9">
        <v>43</v>
      </c>
      <c r="N103" s="9">
        <v>24</v>
      </c>
      <c r="O103" s="9">
        <v>24</v>
      </c>
      <c r="P103" s="9">
        <v>47</v>
      </c>
      <c r="Q103" s="9">
        <v>47</v>
      </c>
      <c r="R103" s="9">
        <v>114</v>
      </c>
      <c r="S103" s="9">
        <v>114</v>
      </c>
      <c r="T103" s="10">
        <v>228</v>
      </c>
    </row>
    <row r="104" spans="11:20">
      <c r="K104" s="23" t="s">
        <v>67</v>
      </c>
      <c r="L104" s="9">
        <v>9</v>
      </c>
      <c r="M104" s="9">
        <v>9</v>
      </c>
      <c r="N104" s="9">
        <v>5</v>
      </c>
      <c r="O104" s="9">
        <v>5</v>
      </c>
      <c r="P104" s="9">
        <v>10</v>
      </c>
      <c r="Q104" s="9">
        <v>10</v>
      </c>
      <c r="R104" s="9">
        <v>24</v>
      </c>
      <c r="S104" s="9">
        <v>24</v>
      </c>
      <c r="T104" s="10">
        <v>48</v>
      </c>
    </row>
    <row r="105" spans="11:20">
      <c r="K105" s="23" t="s">
        <v>68</v>
      </c>
      <c r="L105" s="9">
        <v>1</v>
      </c>
      <c r="M105" s="9">
        <v>1</v>
      </c>
      <c r="N105" s="9">
        <v>1</v>
      </c>
      <c r="O105" s="9">
        <v>1</v>
      </c>
      <c r="P105" s="9">
        <v>1</v>
      </c>
      <c r="Q105" s="9">
        <v>1</v>
      </c>
      <c r="R105" s="9">
        <v>3</v>
      </c>
      <c r="S105" s="9">
        <v>3</v>
      </c>
      <c r="T105" s="10">
        <v>6</v>
      </c>
    </row>
    <row r="106" spans="11:20">
      <c r="K106" s="23" t="s">
        <v>42</v>
      </c>
      <c r="L106" s="9">
        <v>1</v>
      </c>
      <c r="M106" s="9">
        <v>1</v>
      </c>
      <c r="N106" s="9">
        <v>0</v>
      </c>
      <c r="O106" s="9">
        <v>0</v>
      </c>
      <c r="P106" s="9">
        <v>1</v>
      </c>
      <c r="Q106" s="9">
        <v>1</v>
      </c>
      <c r="R106" s="9">
        <v>2</v>
      </c>
      <c r="S106" s="9">
        <v>2</v>
      </c>
      <c r="T106" s="10">
        <v>4</v>
      </c>
    </row>
    <row r="107" spans="11:20" ht="17.5" thickBot="1">
      <c r="K107" s="24" t="s">
        <v>11</v>
      </c>
      <c r="L107" s="29">
        <v>738</v>
      </c>
      <c r="M107" s="29">
        <v>738</v>
      </c>
      <c r="N107" s="29">
        <v>404</v>
      </c>
      <c r="O107" s="29">
        <v>404</v>
      </c>
      <c r="P107" s="29">
        <v>800</v>
      </c>
      <c r="Q107" s="29">
        <v>800</v>
      </c>
      <c r="R107" s="30">
        <v>1942</v>
      </c>
      <c r="S107" s="30">
        <v>1942</v>
      </c>
      <c r="T107" s="31">
        <v>3884</v>
      </c>
    </row>
    <row r="108" spans="11:20" ht="17.5" thickTop="1"/>
  </sheetData>
  <mergeCells count="112">
    <mergeCell ref="M60:M61"/>
    <mergeCell ref="C83:D83"/>
    <mergeCell ref="C84:D84"/>
    <mergeCell ref="C85:D85"/>
    <mergeCell ref="C72:D72"/>
    <mergeCell ref="M72:N72"/>
    <mergeCell ref="M73:N73"/>
    <mergeCell ref="M74:N74"/>
    <mergeCell ref="M75:N75"/>
    <mergeCell ref="M76:N76"/>
    <mergeCell ref="M77:N77"/>
    <mergeCell ref="M83:N83"/>
    <mergeCell ref="M84:N84"/>
    <mergeCell ref="M78:N78"/>
    <mergeCell ref="M85:N85"/>
    <mergeCell ref="C74:D74"/>
    <mergeCell ref="C75:D75"/>
    <mergeCell ref="C76:D76"/>
    <mergeCell ref="C77:D77"/>
    <mergeCell ref="C78:D78"/>
    <mergeCell ref="C73:D73"/>
    <mergeCell ref="L62:M63"/>
    <mergeCell ref="B52:C53"/>
    <mergeCell ref="B43:C43"/>
    <mergeCell ref="B54:C55"/>
    <mergeCell ref="B46:C47"/>
    <mergeCell ref="B44:C45"/>
    <mergeCell ref="B48:C49"/>
    <mergeCell ref="B50:C51"/>
    <mergeCell ref="L64:M65"/>
    <mergeCell ref="B62:C63"/>
    <mergeCell ref="B64:C65"/>
    <mergeCell ref="C58:C59"/>
    <mergeCell ref="C56:C57"/>
    <mergeCell ref="C60:C61"/>
    <mergeCell ref="B56:B61"/>
    <mergeCell ref="L43:M43"/>
    <mergeCell ref="L44:M45"/>
    <mergeCell ref="L46:M47"/>
    <mergeCell ref="L48:M49"/>
    <mergeCell ref="L50:M51"/>
    <mergeCell ref="L52:M53"/>
    <mergeCell ref="L54:M55"/>
    <mergeCell ref="L56:L61"/>
    <mergeCell ref="M56:M57"/>
    <mergeCell ref="M58:M59"/>
    <mergeCell ref="A20:B20"/>
    <mergeCell ref="A21:B21"/>
    <mergeCell ref="A25:B27"/>
    <mergeCell ref="D25:I25"/>
    <mergeCell ref="D26:F26"/>
    <mergeCell ref="G26:I26"/>
    <mergeCell ref="S6:T6"/>
    <mergeCell ref="S7:S10"/>
    <mergeCell ref="S11:S12"/>
    <mergeCell ref="S13:S14"/>
    <mergeCell ref="A19:B19"/>
    <mergeCell ref="A6:B8"/>
    <mergeCell ref="D6:E6"/>
    <mergeCell ref="D7:E7"/>
    <mergeCell ref="F6:H6"/>
    <mergeCell ref="F7:H7"/>
    <mergeCell ref="A9:B9"/>
    <mergeCell ref="A10:B10"/>
    <mergeCell ref="A11:B11"/>
    <mergeCell ref="A12:B12"/>
    <mergeCell ref="A13:B13"/>
    <mergeCell ref="A14:B14"/>
    <mergeCell ref="K25:L27"/>
    <mergeCell ref="S15:S16"/>
    <mergeCell ref="R89:T89"/>
    <mergeCell ref="K89:K90"/>
    <mergeCell ref="L89:M89"/>
    <mergeCell ref="N89:O89"/>
    <mergeCell ref="P89:Q89"/>
    <mergeCell ref="A38:B38"/>
    <mergeCell ref="A39:B39"/>
    <mergeCell ref="A40:B40"/>
    <mergeCell ref="A28:B28"/>
    <mergeCell ref="A29:B29"/>
    <mergeCell ref="A30:B30"/>
    <mergeCell ref="A31:B31"/>
    <mergeCell ref="A32:B32"/>
    <mergeCell ref="A33:B33"/>
    <mergeCell ref="E44:I45"/>
    <mergeCell ref="O44:R45"/>
    <mergeCell ref="K28:L28"/>
    <mergeCell ref="K29:L29"/>
    <mergeCell ref="K30:L30"/>
    <mergeCell ref="K31:L31"/>
    <mergeCell ref="K32:L32"/>
    <mergeCell ref="K33:L33"/>
    <mergeCell ref="K38:L38"/>
    <mergeCell ref="K39:L39"/>
    <mergeCell ref="K40:L40"/>
    <mergeCell ref="AF7:AG9"/>
    <mergeCell ref="AI7:AN7"/>
    <mergeCell ref="AI8:AK8"/>
    <mergeCell ref="AL8:AN8"/>
    <mergeCell ref="AF10:AG10"/>
    <mergeCell ref="AF11:AG11"/>
    <mergeCell ref="AF12:AG12"/>
    <mergeCell ref="AF13:AG13"/>
    <mergeCell ref="AF14:AG14"/>
    <mergeCell ref="AF15:AG15"/>
    <mergeCell ref="AF20:AG20"/>
    <mergeCell ref="AF21:AG21"/>
    <mergeCell ref="AF22:AG22"/>
    <mergeCell ref="S17:S18"/>
    <mergeCell ref="N25:S25"/>
    <mergeCell ref="N26:P26"/>
    <mergeCell ref="Q26:S26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109"/>
  <sheetViews>
    <sheetView zoomScale="85" zoomScaleNormal="85" workbookViewId="0">
      <selection activeCell="AA46" sqref="AA46"/>
    </sheetView>
  </sheetViews>
  <sheetFormatPr defaultRowHeight="17"/>
  <cols>
    <col min="20" max="20" width="11.5" customWidth="1"/>
  </cols>
  <sheetData>
    <row r="1" spans="1:8">
      <c r="A1" t="s">
        <v>154</v>
      </c>
    </row>
    <row r="2" spans="1:8">
      <c r="A2" t="s">
        <v>153</v>
      </c>
      <c r="B2" t="s">
        <v>152</v>
      </c>
    </row>
    <row r="4" spans="1:8">
      <c r="B4" t="s">
        <v>192</v>
      </c>
      <c r="G4" t="s">
        <v>194</v>
      </c>
    </row>
    <row r="5" spans="1:8" ht="17.5" thickBot="1">
      <c r="B5" t="s">
        <v>172</v>
      </c>
      <c r="G5" t="s">
        <v>193</v>
      </c>
    </row>
    <row r="6" spans="1:8" ht="17.5" thickTop="1">
      <c r="B6" s="543" t="s">
        <v>39</v>
      </c>
      <c r="C6" s="544"/>
      <c r="D6" s="547" t="s">
        <v>163</v>
      </c>
      <c r="E6" s="548"/>
      <c r="G6" s="32" t="s">
        <v>189</v>
      </c>
    </row>
    <row r="7" spans="1:8" ht="17.5" thickBot="1">
      <c r="B7" s="545"/>
      <c r="C7" s="546"/>
      <c r="D7" s="36" t="s">
        <v>156</v>
      </c>
      <c r="E7" s="37" t="s">
        <v>157</v>
      </c>
      <c r="H7" t="s">
        <v>191</v>
      </c>
    </row>
    <row r="8" spans="1:8" ht="17.5" thickTop="1">
      <c r="B8" s="549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</row>
    <row r="9" spans="1:8">
      <c r="B9" s="536"/>
      <c r="C9" s="46" t="s">
        <v>166</v>
      </c>
      <c r="D9" s="46">
        <v>1.59</v>
      </c>
      <c r="E9" s="47">
        <v>1.7</v>
      </c>
    </row>
    <row r="10" spans="1:8">
      <c r="B10" s="535" t="s">
        <v>13</v>
      </c>
      <c r="C10" s="46" t="s">
        <v>9</v>
      </c>
      <c r="D10" s="46">
        <v>1.38</v>
      </c>
      <c r="E10" s="47">
        <v>1.48</v>
      </c>
    </row>
    <row r="11" spans="1:8">
      <c r="B11" s="536"/>
      <c r="C11" s="46" t="s">
        <v>10</v>
      </c>
      <c r="D11" s="46">
        <v>1.6</v>
      </c>
      <c r="E11" s="47">
        <v>1.56</v>
      </c>
    </row>
    <row r="12" spans="1:8">
      <c r="B12" s="535" t="s">
        <v>167</v>
      </c>
      <c r="C12" s="46" t="s">
        <v>9</v>
      </c>
      <c r="D12" s="46">
        <v>1.25</v>
      </c>
      <c r="E12" s="47">
        <v>1.25</v>
      </c>
    </row>
    <row r="13" spans="1:8">
      <c r="B13" s="536"/>
      <c r="C13" s="46" t="s">
        <v>10</v>
      </c>
      <c r="D13" s="46">
        <v>1.47</v>
      </c>
      <c r="E13" s="47">
        <v>1.73</v>
      </c>
    </row>
    <row r="14" spans="1:8">
      <c r="B14" s="535" t="s">
        <v>168</v>
      </c>
      <c r="C14" s="46" t="s">
        <v>9</v>
      </c>
      <c r="D14" s="46">
        <v>1.35</v>
      </c>
      <c r="E14" s="47">
        <v>1.4</v>
      </c>
    </row>
    <row r="15" spans="1:8">
      <c r="B15" s="536"/>
      <c r="C15" s="46" t="s">
        <v>10</v>
      </c>
      <c r="D15" s="46">
        <v>1.6</v>
      </c>
      <c r="E15" s="47">
        <v>1.73</v>
      </c>
    </row>
    <row r="16" spans="1:8">
      <c r="B16" s="535" t="s">
        <v>47</v>
      </c>
      <c r="C16" s="46" t="s">
        <v>9</v>
      </c>
      <c r="D16" s="46">
        <v>1.33</v>
      </c>
      <c r="E16" s="47">
        <v>1.55</v>
      </c>
    </row>
    <row r="17" spans="1:29">
      <c r="B17" s="536"/>
      <c r="C17" s="46" t="s">
        <v>10</v>
      </c>
      <c r="D17" s="46">
        <v>1.43</v>
      </c>
      <c r="E17" s="47">
        <v>1.54</v>
      </c>
    </row>
    <row r="18" spans="1:29">
      <c r="B18" s="535" t="s">
        <v>169</v>
      </c>
      <c r="C18" s="46" t="s">
        <v>9</v>
      </c>
      <c r="D18" s="46">
        <v>1.33</v>
      </c>
      <c r="E18" s="47">
        <v>1.55</v>
      </c>
    </row>
    <row r="19" spans="1:29">
      <c r="B19" s="536"/>
      <c r="C19" s="46" t="s">
        <v>10</v>
      </c>
      <c r="D19" s="46">
        <v>1.43</v>
      </c>
      <c r="E19" s="47">
        <v>1.54</v>
      </c>
    </row>
    <row r="20" spans="1:29">
      <c r="B20" s="535" t="s">
        <v>170</v>
      </c>
      <c r="C20" s="46" t="s">
        <v>9</v>
      </c>
      <c r="D20" s="46">
        <v>1.33</v>
      </c>
      <c r="E20" s="47">
        <v>1.55</v>
      </c>
    </row>
    <row r="21" spans="1:29">
      <c r="B21" s="536"/>
      <c r="C21" s="46" t="s">
        <v>10</v>
      </c>
      <c r="D21" s="46">
        <v>1.43</v>
      </c>
      <c r="E21" s="47">
        <v>1.54</v>
      </c>
    </row>
    <row r="22" spans="1:29">
      <c r="B22" s="535" t="s">
        <v>171</v>
      </c>
      <c r="C22" s="46" t="s">
        <v>9</v>
      </c>
      <c r="D22" s="46">
        <v>1.27</v>
      </c>
      <c r="E22" s="47">
        <v>1.35</v>
      </c>
      <c r="U22" s="34"/>
      <c r="V22" t="s">
        <v>233</v>
      </c>
    </row>
    <row r="23" spans="1:29" ht="17.5" thickBot="1">
      <c r="B23" s="537"/>
      <c r="C23" s="48" t="s">
        <v>10</v>
      </c>
      <c r="D23" s="48">
        <v>1.27</v>
      </c>
      <c r="E23" s="49">
        <v>1.35</v>
      </c>
    </row>
    <row r="24" spans="1:29" ht="17.5" thickTop="1">
      <c r="A24" t="s">
        <v>214</v>
      </c>
      <c r="B24" s="56"/>
      <c r="C24" s="56"/>
      <c r="D24" s="56"/>
      <c r="E24" s="56"/>
      <c r="P24" t="s">
        <v>213</v>
      </c>
    </row>
    <row r="25" spans="1:29">
      <c r="A25" t="s">
        <v>195</v>
      </c>
      <c r="L25" s="64" t="s">
        <v>196</v>
      </c>
      <c r="O25" t="s">
        <v>215</v>
      </c>
      <c r="P25" t="s">
        <v>212</v>
      </c>
    </row>
    <row r="26" spans="1:29">
      <c r="AA26" t="s">
        <v>216</v>
      </c>
      <c r="AB26" t="s">
        <v>148</v>
      </c>
      <c r="AC26" s="32" t="s">
        <v>74</v>
      </c>
    </row>
    <row r="27" spans="1:29">
      <c r="C27" s="550" t="s">
        <v>156</v>
      </c>
      <c r="D27" s="551"/>
      <c r="E27" s="550" t="s">
        <v>157</v>
      </c>
      <c r="F27" s="551"/>
      <c r="G27" s="550" t="s">
        <v>158</v>
      </c>
      <c r="H27" s="551"/>
      <c r="I27" s="550" t="s">
        <v>159</v>
      </c>
      <c r="J27" s="551"/>
      <c r="K27" s="550" t="s">
        <v>160</v>
      </c>
      <c r="L27" s="552"/>
      <c r="M27" s="552"/>
      <c r="P27" s="654" t="s">
        <v>156</v>
      </c>
      <c r="Q27" s="654"/>
      <c r="R27" s="654" t="s">
        <v>174</v>
      </c>
      <c r="S27" s="654"/>
      <c r="T27" s="550" t="s">
        <v>158</v>
      </c>
      <c r="U27" s="551"/>
      <c r="V27" s="654" t="s">
        <v>160</v>
      </c>
      <c r="W27" s="654"/>
      <c r="X27" s="654"/>
      <c r="AA27" t="s">
        <v>202</v>
      </c>
      <c r="AB27" t="s">
        <v>73</v>
      </c>
      <c r="AC27" s="75">
        <v>14267.0414</v>
      </c>
    </row>
    <row r="28" spans="1:29">
      <c r="A28" t="s">
        <v>34</v>
      </c>
      <c r="B28" t="s">
        <v>148</v>
      </c>
      <c r="C28" s="66" t="s">
        <v>40</v>
      </c>
      <c r="D28" s="66" t="s">
        <v>41</v>
      </c>
      <c r="E28" s="66" t="s">
        <v>40</v>
      </c>
      <c r="F28" s="66" t="s">
        <v>41</v>
      </c>
      <c r="G28" s="66" t="s">
        <v>40</v>
      </c>
      <c r="H28" s="66" t="s">
        <v>41</v>
      </c>
      <c r="I28" s="66" t="s">
        <v>40</v>
      </c>
      <c r="J28" s="66" t="s">
        <v>41</v>
      </c>
      <c r="K28" s="66" t="s">
        <v>40</v>
      </c>
      <c r="L28" s="66" t="s">
        <v>41</v>
      </c>
      <c r="M28" s="67" t="s">
        <v>21</v>
      </c>
      <c r="P28" s="73" t="s">
        <v>40</v>
      </c>
      <c r="Q28" s="73" t="s">
        <v>41</v>
      </c>
      <c r="R28" s="73" t="s">
        <v>40</v>
      </c>
      <c r="S28" s="73" t="s">
        <v>41</v>
      </c>
      <c r="T28" s="66" t="s">
        <v>40</v>
      </c>
      <c r="U28" s="66" t="s">
        <v>41</v>
      </c>
      <c r="V28" s="73" t="s">
        <v>40</v>
      </c>
      <c r="W28" s="73" t="s">
        <v>41</v>
      </c>
      <c r="X28" s="73" t="s">
        <v>21</v>
      </c>
      <c r="AA28" t="s">
        <v>202</v>
      </c>
      <c r="AB28" t="s">
        <v>217</v>
      </c>
      <c r="AC28" s="75">
        <v>15857.7047</v>
      </c>
    </row>
    <row r="29" spans="1:29">
      <c r="A29" t="s">
        <v>197</v>
      </c>
      <c r="B29" t="s">
        <v>198</v>
      </c>
      <c r="C29" s="70">
        <v>998</v>
      </c>
      <c r="D29" s="70">
        <v>998</v>
      </c>
      <c r="E29" s="70">
        <v>222</v>
      </c>
      <c r="F29" s="70">
        <v>222</v>
      </c>
      <c r="G29" s="71">
        <v>1429</v>
      </c>
      <c r="H29" s="71">
        <v>1429</v>
      </c>
      <c r="I29" s="70">
        <v>870</v>
      </c>
      <c r="J29" s="70">
        <v>870</v>
      </c>
      <c r="K29" s="71">
        <v>3519</v>
      </c>
      <c r="L29" s="71">
        <v>3519</v>
      </c>
      <c r="M29" s="71">
        <v>7038</v>
      </c>
      <c r="P29" s="69">
        <v>629</v>
      </c>
      <c r="Q29" s="69">
        <v>629</v>
      </c>
      <c r="R29" s="69">
        <v>178</v>
      </c>
      <c r="S29" s="69">
        <v>178</v>
      </c>
      <c r="T29" s="74">
        <f>G29/$H$8</f>
        <v>123.40241796200345</v>
      </c>
      <c r="U29" s="74">
        <f t="shared" ref="U29:U33" si="0">H29/$H$8</f>
        <v>123.40241796200345</v>
      </c>
      <c r="V29" s="69">
        <v>807</v>
      </c>
      <c r="W29" s="69">
        <v>807</v>
      </c>
      <c r="X29" s="68">
        <v>1614</v>
      </c>
      <c r="AA29" t="s">
        <v>218</v>
      </c>
      <c r="AB29" t="s">
        <v>75</v>
      </c>
      <c r="AC29" s="75">
        <v>38657.855799999998</v>
      </c>
    </row>
    <row r="30" spans="1:29">
      <c r="A30" s="56" t="s">
        <v>197</v>
      </c>
      <c r="B30" s="20" t="s">
        <v>199</v>
      </c>
      <c r="C30" s="70">
        <v>992</v>
      </c>
      <c r="D30" s="70">
        <v>992</v>
      </c>
      <c r="E30" s="70">
        <v>221</v>
      </c>
      <c r="F30" s="70">
        <v>221</v>
      </c>
      <c r="G30" s="71">
        <v>1420</v>
      </c>
      <c r="H30" s="71">
        <v>1420</v>
      </c>
      <c r="I30" s="70">
        <v>865</v>
      </c>
      <c r="J30" s="70">
        <v>865</v>
      </c>
      <c r="K30" s="71">
        <v>3498</v>
      </c>
      <c r="L30" s="71">
        <v>3498</v>
      </c>
      <c r="M30" s="71">
        <v>6996</v>
      </c>
      <c r="P30" s="69">
        <v>624</v>
      </c>
      <c r="Q30" s="69">
        <v>624</v>
      </c>
      <c r="R30" s="69">
        <v>177</v>
      </c>
      <c r="S30" s="69">
        <v>177</v>
      </c>
      <c r="T30" s="74">
        <f t="shared" ref="T30:T33" si="1">G30/$H$8</f>
        <v>122.6252158894646</v>
      </c>
      <c r="U30" s="74">
        <f t="shared" si="0"/>
        <v>122.6252158894646</v>
      </c>
      <c r="V30" s="69">
        <v>801</v>
      </c>
      <c r="W30" s="69">
        <v>801</v>
      </c>
      <c r="X30" s="68">
        <v>1602</v>
      </c>
      <c r="AA30" t="s">
        <v>219</v>
      </c>
      <c r="AB30" t="s">
        <v>76</v>
      </c>
      <c r="AC30" s="75">
        <v>38408.5</v>
      </c>
    </row>
    <row r="31" spans="1:29">
      <c r="A31" t="s">
        <v>197</v>
      </c>
      <c r="B31" t="s">
        <v>200</v>
      </c>
      <c r="C31" s="70">
        <v>813</v>
      </c>
      <c r="D31" s="70">
        <v>813</v>
      </c>
      <c r="E31" s="70">
        <v>181</v>
      </c>
      <c r="F31" s="70">
        <v>181</v>
      </c>
      <c r="G31" s="71">
        <v>1164</v>
      </c>
      <c r="H31" s="71">
        <v>1164</v>
      </c>
      <c r="I31" s="70">
        <v>708</v>
      </c>
      <c r="J31" s="70">
        <v>708</v>
      </c>
      <c r="K31" s="71">
        <v>2866</v>
      </c>
      <c r="L31" s="71">
        <v>2866</v>
      </c>
      <c r="M31" s="71">
        <v>5732</v>
      </c>
      <c r="P31" s="69">
        <v>512</v>
      </c>
      <c r="Q31" s="69">
        <v>512</v>
      </c>
      <c r="R31" s="69">
        <v>144</v>
      </c>
      <c r="S31" s="69">
        <v>144</v>
      </c>
      <c r="T31" s="74">
        <f t="shared" si="1"/>
        <v>100.51813471502591</v>
      </c>
      <c r="U31" s="74">
        <f t="shared" si="0"/>
        <v>100.51813471502591</v>
      </c>
      <c r="V31" s="69">
        <v>656</v>
      </c>
      <c r="W31" s="69">
        <v>656</v>
      </c>
      <c r="X31" s="68">
        <v>1312</v>
      </c>
      <c r="AA31" t="s">
        <v>219</v>
      </c>
      <c r="AB31" t="s">
        <v>220</v>
      </c>
      <c r="AC31" s="75">
        <v>31514.0893</v>
      </c>
    </row>
    <row r="32" spans="1:29">
      <c r="A32" t="s">
        <v>197</v>
      </c>
      <c r="B32" t="s">
        <v>201</v>
      </c>
      <c r="C32" s="69">
        <v>829</v>
      </c>
      <c r="D32" s="69">
        <v>829</v>
      </c>
      <c r="E32" s="69">
        <v>185</v>
      </c>
      <c r="F32" s="69">
        <v>185</v>
      </c>
      <c r="G32" s="68">
        <v>1187</v>
      </c>
      <c r="H32" s="68">
        <v>1187</v>
      </c>
      <c r="I32" s="69">
        <v>722</v>
      </c>
      <c r="J32" s="69">
        <v>722</v>
      </c>
      <c r="K32" s="68">
        <v>2923</v>
      </c>
      <c r="L32" s="68">
        <v>2923</v>
      </c>
      <c r="M32" s="68">
        <v>5846</v>
      </c>
      <c r="P32" s="69">
        <v>521</v>
      </c>
      <c r="Q32" s="69">
        <v>521</v>
      </c>
      <c r="R32" s="69">
        <v>149</v>
      </c>
      <c r="S32" s="69">
        <v>149</v>
      </c>
      <c r="T32" s="74">
        <f t="shared" si="1"/>
        <v>102.50431778929187</v>
      </c>
      <c r="U32" s="74">
        <f t="shared" si="0"/>
        <v>102.50431778929187</v>
      </c>
      <c r="V32" s="69">
        <v>670</v>
      </c>
      <c r="W32" s="69">
        <v>670</v>
      </c>
      <c r="X32" s="68">
        <v>1340</v>
      </c>
      <c r="AA32" t="s">
        <v>219</v>
      </c>
      <c r="AB32" t="s">
        <v>221</v>
      </c>
      <c r="AC32" s="75">
        <v>32098.9882</v>
      </c>
    </row>
    <row r="33" spans="1:40">
      <c r="A33" t="s">
        <v>202</v>
      </c>
      <c r="C33" s="69">
        <v>104</v>
      </c>
      <c r="D33" s="69">
        <v>104</v>
      </c>
      <c r="E33" s="69">
        <v>22</v>
      </c>
      <c r="F33" s="69">
        <v>22</v>
      </c>
      <c r="G33" s="69">
        <v>146</v>
      </c>
      <c r="H33" s="69">
        <v>146</v>
      </c>
      <c r="I33" s="69">
        <v>90</v>
      </c>
      <c r="J33" s="69">
        <v>90</v>
      </c>
      <c r="K33" s="69">
        <v>362</v>
      </c>
      <c r="L33" s="69">
        <v>362</v>
      </c>
      <c r="M33" s="69">
        <v>724</v>
      </c>
      <c r="P33" s="69">
        <v>64</v>
      </c>
      <c r="Q33" s="69">
        <v>64</v>
      </c>
      <c r="R33" s="69">
        <v>18</v>
      </c>
      <c r="S33" s="69">
        <v>18</v>
      </c>
      <c r="T33" s="74">
        <f t="shared" si="1"/>
        <v>12.607944732297064</v>
      </c>
      <c r="U33" s="74">
        <f t="shared" si="0"/>
        <v>12.607944732297064</v>
      </c>
      <c r="V33" s="69">
        <v>82</v>
      </c>
      <c r="W33" s="69">
        <v>82</v>
      </c>
      <c r="X33" s="69">
        <v>164</v>
      </c>
      <c r="AA33" t="s">
        <v>207</v>
      </c>
      <c r="AB33" t="s">
        <v>222</v>
      </c>
      <c r="AC33" s="75">
        <v>63163.374600000003</v>
      </c>
    </row>
    <row r="34" spans="1:40">
      <c r="AA34" t="s">
        <v>207</v>
      </c>
      <c r="AB34" t="s">
        <v>79</v>
      </c>
      <c r="AC34" s="75">
        <v>36231.236499999999</v>
      </c>
    </row>
    <row r="35" spans="1:40">
      <c r="A35" t="s">
        <v>203</v>
      </c>
      <c r="L35" s="65" t="s">
        <v>204</v>
      </c>
      <c r="AA35" t="s">
        <v>207</v>
      </c>
      <c r="AB35" t="s">
        <v>223</v>
      </c>
      <c r="AC35" s="75">
        <v>69072.016600000003</v>
      </c>
    </row>
    <row r="36" spans="1:40">
      <c r="C36" s="550" t="s">
        <v>156</v>
      </c>
      <c r="D36" s="551"/>
      <c r="E36" s="550" t="s">
        <v>157</v>
      </c>
      <c r="F36" s="551"/>
      <c r="G36" s="550" t="s">
        <v>158</v>
      </c>
      <c r="H36" s="551"/>
      <c r="I36" s="550" t="s">
        <v>159</v>
      </c>
      <c r="J36" s="551"/>
      <c r="K36" s="550" t="s">
        <v>160</v>
      </c>
      <c r="L36" s="552"/>
      <c r="M36" s="552"/>
      <c r="P36" s="534" t="s">
        <v>156</v>
      </c>
      <c r="Q36" s="534"/>
      <c r="R36" s="534" t="s">
        <v>174</v>
      </c>
      <c r="S36" s="534"/>
      <c r="T36" s="550" t="s">
        <v>158</v>
      </c>
      <c r="U36" s="551"/>
      <c r="V36" s="534" t="s">
        <v>160</v>
      </c>
      <c r="W36" s="534"/>
      <c r="X36" s="534"/>
      <c r="AA36" t="s">
        <v>224</v>
      </c>
      <c r="AB36" t="s">
        <v>85</v>
      </c>
      <c r="AC36" s="75">
        <v>4861.8494000000001</v>
      </c>
    </row>
    <row r="37" spans="1:40">
      <c r="A37" t="s">
        <v>205</v>
      </c>
      <c r="C37" s="66" t="s">
        <v>40</v>
      </c>
      <c r="D37" s="66" t="s">
        <v>41</v>
      </c>
      <c r="E37" s="66" t="s">
        <v>40</v>
      </c>
      <c r="F37" s="66" t="s">
        <v>41</v>
      </c>
      <c r="G37" s="66" t="s">
        <v>40</v>
      </c>
      <c r="H37" s="66" t="s">
        <v>41</v>
      </c>
      <c r="I37" s="66" t="s">
        <v>40</v>
      </c>
      <c r="J37" s="66" t="s">
        <v>41</v>
      </c>
      <c r="K37" s="66" t="s">
        <v>40</v>
      </c>
      <c r="L37" s="66" t="s">
        <v>41</v>
      </c>
      <c r="M37" s="67" t="s">
        <v>21</v>
      </c>
      <c r="P37" s="72" t="s">
        <v>40</v>
      </c>
      <c r="Q37" s="72" t="s">
        <v>41</v>
      </c>
      <c r="R37" s="72" t="s">
        <v>40</v>
      </c>
      <c r="S37" s="72" t="s">
        <v>41</v>
      </c>
      <c r="T37" s="66" t="s">
        <v>40</v>
      </c>
      <c r="U37" s="66" t="s">
        <v>41</v>
      </c>
      <c r="V37" s="72" t="s">
        <v>40</v>
      </c>
      <c r="W37" s="72" t="s">
        <v>41</v>
      </c>
      <c r="X37" s="72" t="s">
        <v>21</v>
      </c>
      <c r="AA37" t="s">
        <v>224</v>
      </c>
      <c r="AB37" t="s">
        <v>81</v>
      </c>
      <c r="AC37" s="75">
        <v>2430.8498</v>
      </c>
    </row>
    <row r="38" spans="1:40">
      <c r="A38" t="s">
        <v>136</v>
      </c>
      <c r="C38" s="68">
        <v>1113</v>
      </c>
      <c r="D38" s="68">
        <v>1113</v>
      </c>
      <c r="E38" s="69">
        <v>149</v>
      </c>
      <c r="F38" s="69">
        <v>149</v>
      </c>
      <c r="G38" s="69">
        <v>902</v>
      </c>
      <c r="H38" s="69">
        <v>902</v>
      </c>
      <c r="I38" s="68">
        <v>1831</v>
      </c>
      <c r="J38" s="68">
        <v>1831</v>
      </c>
      <c r="K38" s="68">
        <v>3995</v>
      </c>
      <c r="L38" s="68">
        <v>3995</v>
      </c>
      <c r="M38" s="68">
        <v>7990</v>
      </c>
      <c r="P38" s="69">
        <v>704</v>
      </c>
      <c r="Q38" s="69">
        <v>704</v>
      </c>
      <c r="R38" s="69">
        <v>105</v>
      </c>
      <c r="S38" s="69">
        <v>105</v>
      </c>
      <c r="T38" s="74">
        <f t="shared" ref="T38:T44" si="2">G38/$H$8</f>
        <v>77.89291882556131</v>
      </c>
      <c r="U38" s="74">
        <f t="shared" ref="U38:U44" si="3">H38/$H$8</f>
        <v>77.89291882556131</v>
      </c>
      <c r="V38" s="69">
        <v>809</v>
      </c>
      <c r="W38" s="69">
        <v>809</v>
      </c>
      <c r="X38" s="68">
        <v>1618</v>
      </c>
      <c r="AA38" t="s">
        <v>224</v>
      </c>
      <c r="AB38" t="s">
        <v>82</v>
      </c>
      <c r="AC38" s="75">
        <v>2252.9902000000002</v>
      </c>
    </row>
    <row r="39" spans="1:40">
      <c r="A39" t="s">
        <v>206</v>
      </c>
      <c r="C39" s="68">
        <v>3252</v>
      </c>
      <c r="D39" s="68">
        <v>3252</v>
      </c>
      <c r="E39" s="69">
        <v>634</v>
      </c>
      <c r="F39" s="69">
        <v>634</v>
      </c>
      <c r="G39" s="68">
        <v>4005</v>
      </c>
      <c r="H39" s="68">
        <v>4005</v>
      </c>
      <c r="I39" s="68">
        <v>1525</v>
      </c>
      <c r="J39" s="68">
        <v>1525</v>
      </c>
      <c r="K39" s="68">
        <v>9416</v>
      </c>
      <c r="L39" s="68">
        <v>9416</v>
      </c>
      <c r="M39" s="68">
        <v>18832</v>
      </c>
      <c r="P39" s="68">
        <v>2258</v>
      </c>
      <c r="Q39" s="68">
        <v>2258</v>
      </c>
      <c r="R39" s="69">
        <v>459</v>
      </c>
      <c r="S39" s="69">
        <v>459</v>
      </c>
      <c r="T39" s="74">
        <f t="shared" si="2"/>
        <v>345.85492227979273</v>
      </c>
      <c r="U39" s="74">
        <f t="shared" si="3"/>
        <v>345.85492227979273</v>
      </c>
      <c r="V39" s="68">
        <v>2717</v>
      </c>
      <c r="W39" s="68">
        <v>2717</v>
      </c>
      <c r="X39" s="68">
        <v>5434</v>
      </c>
      <c r="AA39" t="s">
        <v>228</v>
      </c>
      <c r="AB39" t="s">
        <v>225</v>
      </c>
      <c r="AC39" s="75">
        <v>5756.5210999999999</v>
      </c>
    </row>
    <row r="40" spans="1:40">
      <c r="A40" t="s">
        <v>207</v>
      </c>
      <c r="C40" s="68">
        <v>4405</v>
      </c>
      <c r="D40" s="68">
        <v>4405</v>
      </c>
      <c r="E40" s="69">
        <v>982</v>
      </c>
      <c r="F40" s="69">
        <v>982</v>
      </c>
      <c r="G40" s="68">
        <v>7338</v>
      </c>
      <c r="H40" s="68">
        <v>7338</v>
      </c>
      <c r="I40" s="68">
        <v>1053</v>
      </c>
      <c r="J40" s="68">
        <v>1053</v>
      </c>
      <c r="K40" s="68">
        <v>13778</v>
      </c>
      <c r="L40" s="68">
        <v>13778</v>
      </c>
      <c r="M40" s="68">
        <v>27556</v>
      </c>
      <c r="P40" s="68">
        <v>2942</v>
      </c>
      <c r="Q40" s="68">
        <v>2942</v>
      </c>
      <c r="R40" s="69">
        <v>905</v>
      </c>
      <c r="S40" s="69">
        <v>905</v>
      </c>
      <c r="T40" s="74">
        <f t="shared" si="2"/>
        <v>633.67875647668393</v>
      </c>
      <c r="U40" s="74">
        <f t="shared" si="3"/>
        <v>633.67875647668393</v>
      </c>
      <c r="V40" s="68">
        <v>3847</v>
      </c>
      <c r="W40" s="68">
        <v>3847</v>
      </c>
      <c r="X40" s="68">
        <v>7694</v>
      </c>
      <c r="AA40" t="s">
        <v>228</v>
      </c>
      <c r="AB40" t="s">
        <v>226</v>
      </c>
      <c r="AC40" s="75">
        <v>5584.9350000000004</v>
      </c>
    </row>
    <row r="41" spans="1:40">
      <c r="A41" t="s">
        <v>208</v>
      </c>
      <c r="C41" s="68">
        <v>1194</v>
      </c>
      <c r="D41" s="68">
        <v>1194</v>
      </c>
      <c r="E41" s="69">
        <v>324</v>
      </c>
      <c r="F41" s="69">
        <v>324</v>
      </c>
      <c r="G41" s="68">
        <v>1204</v>
      </c>
      <c r="H41" s="68">
        <v>1204</v>
      </c>
      <c r="I41" s="69">
        <v>676</v>
      </c>
      <c r="J41" s="69">
        <v>676</v>
      </c>
      <c r="K41" s="68">
        <v>3398</v>
      </c>
      <c r="L41" s="68">
        <v>3398</v>
      </c>
      <c r="M41" s="68">
        <v>6796</v>
      </c>
      <c r="P41" s="69">
        <v>852</v>
      </c>
      <c r="Q41" s="69">
        <v>852</v>
      </c>
      <c r="R41" s="69">
        <v>278</v>
      </c>
      <c r="S41" s="69">
        <v>278</v>
      </c>
      <c r="T41" s="74">
        <f t="shared" si="2"/>
        <v>103.97236614853195</v>
      </c>
      <c r="U41" s="74">
        <f t="shared" si="3"/>
        <v>103.97236614853195</v>
      </c>
      <c r="V41" s="68">
        <v>1130</v>
      </c>
      <c r="W41" s="68">
        <v>1130</v>
      </c>
      <c r="X41" s="68">
        <v>2260</v>
      </c>
      <c r="AA41" t="s">
        <v>228</v>
      </c>
      <c r="AB41" t="s">
        <v>227</v>
      </c>
      <c r="AC41" s="75">
        <v>5424.4053999999996</v>
      </c>
      <c r="AK41" s="447" t="s">
        <v>279</v>
      </c>
      <c r="AL41" s="447"/>
      <c r="AM41" s="447"/>
      <c r="AN41" s="447"/>
    </row>
    <row r="42" spans="1:40">
      <c r="A42" t="s">
        <v>209</v>
      </c>
      <c r="C42" s="68">
        <v>2353</v>
      </c>
      <c r="D42" s="68">
        <v>2353</v>
      </c>
      <c r="E42" s="69">
        <v>560</v>
      </c>
      <c r="F42" s="69">
        <v>560</v>
      </c>
      <c r="G42" s="68">
        <v>2525</v>
      </c>
      <c r="H42" s="68">
        <v>2525</v>
      </c>
      <c r="I42" s="68">
        <v>2539</v>
      </c>
      <c r="J42" s="68">
        <v>2539</v>
      </c>
      <c r="K42" s="68">
        <v>7977</v>
      </c>
      <c r="L42" s="68">
        <v>7977</v>
      </c>
      <c r="M42" s="68">
        <v>15954</v>
      </c>
      <c r="P42" s="68">
        <v>1671</v>
      </c>
      <c r="Q42" s="68">
        <v>1671</v>
      </c>
      <c r="R42" s="69">
        <v>452</v>
      </c>
      <c r="S42" s="69">
        <v>452</v>
      </c>
      <c r="T42" s="74">
        <f t="shared" si="2"/>
        <v>218.04835924006909</v>
      </c>
      <c r="U42" s="74">
        <f t="shared" si="3"/>
        <v>218.04835924006909</v>
      </c>
      <c r="V42" s="68">
        <v>2123</v>
      </c>
      <c r="W42" s="68">
        <v>2123</v>
      </c>
      <c r="X42" s="68">
        <v>4246</v>
      </c>
      <c r="AA42" t="s">
        <v>229</v>
      </c>
      <c r="AB42" t="s">
        <v>102</v>
      </c>
      <c r="AC42" s="75">
        <v>28051.338899999999</v>
      </c>
      <c r="AK42" t="s">
        <v>280</v>
      </c>
      <c r="AL42" t="s">
        <v>281</v>
      </c>
      <c r="AM42" t="s">
        <v>282</v>
      </c>
      <c r="AN42" t="s">
        <v>283</v>
      </c>
    </row>
    <row r="43" spans="1:40">
      <c r="A43" t="s">
        <v>210</v>
      </c>
      <c r="C43" s="68">
        <v>4287</v>
      </c>
      <c r="D43" s="68">
        <v>4287</v>
      </c>
      <c r="E43" s="68">
        <v>1040</v>
      </c>
      <c r="F43" s="68">
        <v>1040</v>
      </c>
      <c r="G43" s="68">
        <v>4743</v>
      </c>
      <c r="H43" s="68">
        <v>4743</v>
      </c>
      <c r="I43" s="68">
        <v>4771</v>
      </c>
      <c r="J43" s="68">
        <v>4771</v>
      </c>
      <c r="K43" s="68">
        <v>14841</v>
      </c>
      <c r="L43" s="68">
        <v>14841</v>
      </c>
      <c r="M43" s="68">
        <v>29682</v>
      </c>
      <c r="P43" s="68">
        <v>3021</v>
      </c>
      <c r="Q43" s="68">
        <v>3021</v>
      </c>
      <c r="R43" s="69">
        <v>820</v>
      </c>
      <c r="S43" s="69">
        <v>820</v>
      </c>
      <c r="T43" s="74">
        <f t="shared" si="2"/>
        <v>409.58549222797927</v>
      </c>
      <c r="U43" s="74">
        <f t="shared" si="3"/>
        <v>409.58549222797927</v>
      </c>
      <c r="V43" s="68">
        <v>3841</v>
      </c>
      <c r="W43" s="68">
        <v>3841</v>
      </c>
      <c r="X43" s="68">
        <v>7682</v>
      </c>
      <c r="AA43" t="s">
        <v>230</v>
      </c>
      <c r="AB43" t="s">
        <v>105</v>
      </c>
      <c r="AC43" s="75">
        <v>15650.840399999999</v>
      </c>
      <c r="AK43">
        <v>263.28750000000002</v>
      </c>
      <c r="AL43">
        <v>263.14999999999998</v>
      </c>
      <c r="AM43">
        <v>658.34339999999997</v>
      </c>
      <c r="AN43">
        <v>649.94010000000003</v>
      </c>
    </row>
    <row r="44" spans="1:40">
      <c r="A44" t="s">
        <v>211</v>
      </c>
      <c r="C44" s="69">
        <v>24</v>
      </c>
      <c r="D44" s="69">
        <v>24</v>
      </c>
      <c r="E44" s="69">
        <v>2</v>
      </c>
      <c r="F44" s="69">
        <v>2</v>
      </c>
      <c r="G44" s="69">
        <v>33</v>
      </c>
      <c r="H44" s="69">
        <v>33</v>
      </c>
      <c r="I44" s="69">
        <v>30</v>
      </c>
      <c r="J44" s="69">
        <v>30</v>
      </c>
      <c r="K44" s="69">
        <v>89</v>
      </c>
      <c r="L44" s="69">
        <v>89</v>
      </c>
      <c r="M44" s="69">
        <v>178</v>
      </c>
      <c r="P44" s="69">
        <v>19</v>
      </c>
      <c r="Q44" s="69">
        <v>19</v>
      </c>
      <c r="R44" s="69">
        <v>4</v>
      </c>
      <c r="S44" s="69">
        <v>4</v>
      </c>
      <c r="T44" s="74">
        <f t="shared" si="2"/>
        <v>2.849740932642487</v>
      </c>
      <c r="U44" s="74">
        <f t="shared" si="3"/>
        <v>2.849740932642487</v>
      </c>
      <c r="V44" s="69">
        <v>23</v>
      </c>
      <c r="W44" s="69">
        <v>23</v>
      </c>
      <c r="X44" s="69">
        <v>46</v>
      </c>
      <c r="AA44" t="s">
        <v>230</v>
      </c>
      <c r="AB44" t="s">
        <v>106</v>
      </c>
      <c r="AC44" s="75">
        <v>3793.4029</v>
      </c>
      <c r="AK44">
        <v>263.15710000000001</v>
      </c>
      <c r="AL44">
        <v>263.3263</v>
      </c>
      <c r="AM44">
        <v>652.92409999999995</v>
      </c>
      <c r="AN44">
        <v>649.42539999999997</v>
      </c>
    </row>
    <row r="45" spans="1:40">
      <c r="AA45" t="s">
        <v>231</v>
      </c>
      <c r="AB45" t="s">
        <v>232</v>
      </c>
      <c r="AC45" s="75">
        <v>2617.3850000000002</v>
      </c>
      <c r="AK45">
        <v>263.78250000000003</v>
      </c>
      <c r="AL45">
        <v>263.52199999999999</v>
      </c>
      <c r="AM45">
        <v>655.89350000000002</v>
      </c>
      <c r="AN45">
        <v>647.83619999999996</v>
      </c>
    </row>
    <row r="46" spans="1:40">
      <c r="AA46" t="s">
        <v>231</v>
      </c>
      <c r="AB46" t="s">
        <v>126</v>
      </c>
      <c r="AC46" s="75">
        <v>3238.1246999999998</v>
      </c>
      <c r="AK46">
        <v>264.4948</v>
      </c>
      <c r="AL46">
        <v>264.25319999999999</v>
      </c>
      <c r="AM46">
        <v>650.22400000000005</v>
      </c>
      <c r="AN46">
        <v>646.25300000000004</v>
      </c>
    </row>
    <row r="47" spans="1:40">
      <c r="AK47">
        <v>264.38010000000003</v>
      </c>
      <c r="AL47">
        <v>265.44740000000002</v>
      </c>
      <c r="AN47">
        <v>644.66999999999996</v>
      </c>
    </row>
    <row r="48" spans="1:40">
      <c r="AK48">
        <v>264.01859999999999</v>
      </c>
      <c r="AL48">
        <v>265.53899999999999</v>
      </c>
    </row>
    <row r="49" spans="37:38">
      <c r="AK49">
        <v>264.45800000000003</v>
      </c>
      <c r="AL49">
        <v>265.59870000000001</v>
      </c>
    </row>
    <row r="50" spans="37:38">
      <c r="AK50">
        <v>264.3426</v>
      </c>
      <c r="AL50">
        <v>265.5573</v>
      </c>
    </row>
    <row r="51" spans="37:38">
      <c r="AK51">
        <v>264.30790000000002</v>
      </c>
      <c r="AL51">
        <v>265.53140000000002</v>
      </c>
    </row>
    <row r="52" spans="37:38">
      <c r="AK52">
        <v>264.80329999999998</v>
      </c>
      <c r="AL52">
        <v>265.53230000000002</v>
      </c>
    </row>
    <row r="53" spans="37:38">
      <c r="AK53">
        <v>264.80329999999998</v>
      </c>
      <c r="AL53">
        <v>265.58249999999998</v>
      </c>
    </row>
    <row r="54" spans="37:38">
      <c r="AK54">
        <v>264.80329999999998</v>
      </c>
      <c r="AL54">
        <v>265.4778</v>
      </c>
    </row>
    <row r="55" spans="37:38">
      <c r="AK55">
        <v>265.37630000000001</v>
      </c>
      <c r="AL55">
        <v>264.19540000000001</v>
      </c>
    </row>
    <row r="56" spans="37:38">
      <c r="AK56">
        <v>265.37630000000001</v>
      </c>
      <c r="AL56">
        <v>265.48930000000001</v>
      </c>
    </row>
    <row r="57" spans="37:38">
      <c r="AK57">
        <v>265.37630000000001</v>
      </c>
      <c r="AL57">
        <v>265.2303</v>
      </c>
    </row>
    <row r="58" spans="37:38">
      <c r="AK58">
        <v>263.63299999999998</v>
      </c>
      <c r="AL58">
        <v>264.9914</v>
      </c>
    </row>
    <row r="59" spans="37:38">
      <c r="AK59">
        <v>263.19029999999998</v>
      </c>
      <c r="AL59">
        <v>264.56079999999997</v>
      </c>
    </row>
    <row r="60" spans="37:38">
      <c r="AK60">
        <v>264.1825</v>
      </c>
      <c r="AL60">
        <v>265.35079999999999</v>
      </c>
    </row>
    <row r="61" spans="37:38">
      <c r="AK61">
        <v>263.05619999999999</v>
      </c>
      <c r="AL61">
        <v>265.38589999999999</v>
      </c>
    </row>
    <row r="62" spans="37:38">
      <c r="AK62">
        <v>263.01089999999999</v>
      </c>
      <c r="AL62">
        <v>265.15949999999998</v>
      </c>
    </row>
    <row r="63" spans="37:38">
      <c r="AK63">
        <v>264.36450000000002</v>
      </c>
      <c r="AL63">
        <v>265.40269999999998</v>
      </c>
    </row>
    <row r="64" spans="37:38">
      <c r="AK64">
        <v>263.18360000000001</v>
      </c>
      <c r="AL64">
        <v>265.25900000000001</v>
      </c>
    </row>
    <row r="65" spans="37:38">
      <c r="AK65">
        <v>263.02910000000003</v>
      </c>
      <c r="AL65">
        <v>265.23009999999999</v>
      </c>
    </row>
    <row r="66" spans="37:38">
      <c r="AK66">
        <v>263.04509999999999</v>
      </c>
      <c r="AL66">
        <v>265.24959999999999</v>
      </c>
    </row>
    <row r="67" spans="37:38">
      <c r="AK67">
        <v>263.1241</v>
      </c>
      <c r="AL67">
        <v>265.00060000000002</v>
      </c>
    </row>
    <row r="68" spans="37:38">
      <c r="AK68">
        <v>263.0609</v>
      </c>
      <c r="AL68">
        <v>263.95639999999997</v>
      </c>
    </row>
    <row r="69" spans="37:38">
      <c r="AK69">
        <v>263.26960000000003</v>
      </c>
      <c r="AL69">
        <v>263.35599999999999</v>
      </c>
    </row>
    <row r="70" spans="37:38">
      <c r="AK70">
        <v>263.25670000000002</v>
      </c>
      <c r="AL70">
        <v>263.27480000000003</v>
      </c>
    </row>
    <row r="71" spans="37:38">
      <c r="AK71">
        <v>263.22179999999997</v>
      </c>
      <c r="AL71">
        <v>264.59930000000003</v>
      </c>
    </row>
    <row r="72" spans="37:38">
      <c r="AK72">
        <v>263.14269999999999</v>
      </c>
      <c r="AL72">
        <v>264.1114</v>
      </c>
    </row>
    <row r="73" spans="37:38">
      <c r="AK73">
        <v>263.28269999999998</v>
      </c>
      <c r="AL73">
        <v>264.56790000000001</v>
      </c>
    </row>
    <row r="74" spans="37:38">
      <c r="AK74">
        <v>263.08359999999999</v>
      </c>
      <c r="AL74">
        <v>264.10300000000001</v>
      </c>
    </row>
    <row r="75" spans="37:38">
      <c r="AK75">
        <v>263.1728</v>
      </c>
      <c r="AL75">
        <v>264.13679999999999</v>
      </c>
    </row>
    <row r="76" spans="37:38">
      <c r="AK76">
        <v>263.08359999999999</v>
      </c>
      <c r="AL76">
        <v>265.03250000000003</v>
      </c>
    </row>
    <row r="77" spans="37:38">
      <c r="AK77">
        <v>263.1728</v>
      </c>
      <c r="AL77">
        <v>263.67070000000001</v>
      </c>
    </row>
    <row r="78" spans="37:38">
      <c r="AK78">
        <v>263.01299999999998</v>
      </c>
      <c r="AL78">
        <v>264.59930000000003</v>
      </c>
    </row>
    <row r="79" spans="37:38">
      <c r="AK79">
        <v>263.08710000000002</v>
      </c>
      <c r="AL79">
        <v>264.1114</v>
      </c>
    </row>
    <row r="80" spans="37:38">
      <c r="AK80">
        <v>263.33159999999998</v>
      </c>
      <c r="AL80">
        <v>264.56790000000001</v>
      </c>
    </row>
    <row r="81" spans="37:38">
      <c r="AK81">
        <v>265.45819999999998</v>
      </c>
      <c r="AL81">
        <v>264.10300000000001</v>
      </c>
    </row>
    <row r="82" spans="37:38">
      <c r="AK82">
        <v>265.39909999999998</v>
      </c>
      <c r="AL82">
        <v>264.13679999999999</v>
      </c>
    </row>
    <row r="83" spans="37:38">
      <c r="AK83">
        <v>265.35759999999999</v>
      </c>
      <c r="AL83">
        <v>265.03250000000003</v>
      </c>
    </row>
    <row r="84" spans="37:38">
      <c r="AK84">
        <v>265.48480000000001</v>
      </c>
      <c r="AL84">
        <v>263.67070000000001</v>
      </c>
    </row>
    <row r="85" spans="37:38">
      <c r="AK85">
        <v>265.4966</v>
      </c>
      <c r="AL85">
        <v>263.78210000000001</v>
      </c>
    </row>
    <row r="86" spans="37:38">
      <c r="AK86">
        <v>265.44389999999999</v>
      </c>
      <c r="AL86">
        <v>262.28149999999999</v>
      </c>
    </row>
    <row r="87" spans="37:38">
      <c r="AK87">
        <v>265.4871</v>
      </c>
      <c r="AL87">
        <v>263.08690000000001</v>
      </c>
    </row>
    <row r="88" spans="37:38">
      <c r="AK88">
        <v>265.36009999999999</v>
      </c>
      <c r="AL88">
        <v>263.19619999999998</v>
      </c>
    </row>
    <row r="89" spans="37:38">
      <c r="AK89">
        <v>265.33390000000003</v>
      </c>
      <c r="AL89">
        <v>263.19619999999998</v>
      </c>
    </row>
    <row r="90" spans="37:38">
      <c r="AK90">
        <v>263.99829999999997</v>
      </c>
      <c r="AL90">
        <v>263.19619999999998</v>
      </c>
    </row>
    <row r="91" spans="37:38">
      <c r="AK91">
        <v>265.33260000000001</v>
      </c>
      <c r="AL91">
        <v>263.19619999999998</v>
      </c>
    </row>
    <row r="92" spans="37:38">
      <c r="AK92">
        <v>265.49009999999998</v>
      </c>
      <c r="AL92">
        <v>263.19619999999998</v>
      </c>
    </row>
    <row r="93" spans="37:38">
      <c r="AK93">
        <v>265.39690000000002</v>
      </c>
      <c r="AL93">
        <v>263.19619999999998</v>
      </c>
    </row>
    <row r="94" spans="37:38">
      <c r="AK94">
        <v>265.41719999999998</v>
      </c>
      <c r="AL94">
        <v>264.41059999999999</v>
      </c>
    </row>
    <row r="95" spans="37:38">
      <c r="AK95">
        <v>265.38510000000002</v>
      </c>
      <c r="AL95">
        <v>264.40190000000001</v>
      </c>
    </row>
    <row r="96" spans="37:38">
      <c r="AK96">
        <v>265.43380000000002</v>
      </c>
      <c r="AL96">
        <v>263.1893</v>
      </c>
    </row>
    <row r="97" spans="37:40">
      <c r="AL97">
        <v>263.76400000000001</v>
      </c>
    </row>
    <row r="98" spans="37:40">
      <c r="AL98">
        <v>263.76400000000001</v>
      </c>
    </row>
    <row r="99" spans="37:40">
      <c r="AL99">
        <v>263.76400000000001</v>
      </c>
    </row>
    <row r="100" spans="37:40">
      <c r="AL100">
        <v>263.33859999999999</v>
      </c>
    </row>
    <row r="101" spans="37:40">
      <c r="AL101">
        <v>263.40210000000002</v>
      </c>
    </row>
    <row r="102" spans="37:40">
      <c r="AL102">
        <v>263.28879999999998</v>
      </c>
    </row>
    <row r="108" spans="37:40">
      <c r="AK108">
        <f>SUM(AK43:AK107)</f>
        <v>14267.0414</v>
      </c>
      <c r="AL108">
        <f t="shared" ref="AL108:AN108" si="4">SUM(AL43:AL107)</f>
        <v>15857.704699999997</v>
      </c>
      <c r="AM108">
        <f t="shared" si="4"/>
        <v>2617.3850000000002</v>
      </c>
      <c r="AN108">
        <f t="shared" si="4"/>
        <v>3238.1246999999998</v>
      </c>
    </row>
    <row r="109" spans="37:40">
      <c r="AM109">
        <v>2617.3850000000002</v>
      </c>
      <c r="AN109">
        <v>3238.1246999999998</v>
      </c>
    </row>
  </sheetData>
  <mergeCells count="29">
    <mergeCell ref="C27:D27"/>
    <mergeCell ref="E27:F27"/>
    <mergeCell ref="G27:H27"/>
    <mergeCell ref="I27:J27"/>
    <mergeCell ref="K27:M27"/>
    <mergeCell ref="D6:E6"/>
    <mergeCell ref="B8:B9"/>
    <mergeCell ref="B10:B11"/>
    <mergeCell ref="B12:B13"/>
    <mergeCell ref="B14:B15"/>
    <mergeCell ref="B16:B17"/>
    <mergeCell ref="B18:B19"/>
    <mergeCell ref="B20:B21"/>
    <mergeCell ref="B22:B23"/>
    <mergeCell ref="B6:C7"/>
    <mergeCell ref="C36:D36"/>
    <mergeCell ref="E36:F36"/>
    <mergeCell ref="G36:H36"/>
    <mergeCell ref="I36:J36"/>
    <mergeCell ref="K36:M36"/>
    <mergeCell ref="AK41:AN41"/>
    <mergeCell ref="P36:Q36"/>
    <mergeCell ref="R36:S36"/>
    <mergeCell ref="V36:X36"/>
    <mergeCell ref="T27:U27"/>
    <mergeCell ref="T36:U36"/>
    <mergeCell ref="P27:Q27"/>
    <mergeCell ref="R27:S27"/>
    <mergeCell ref="V27:X27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92"/>
  <sheetViews>
    <sheetView topLeftCell="A35" zoomScale="70" zoomScaleNormal="70" workbookViewId="0">
      <selection activeCell="K97" sqref="K97"/>
    </sheetView>
  </sheetViews>
  <sheetFormatPr defaultRowHeight="17"/>
  <cols>
    <col min="22" max="22" width="15.08203125" bestFit="1" customWidth="1"/>
    <col min="46" max="46" width="15.08203125" bestFit="1" customWidth="1"/>
  </cols>
  <sheetData>
    <row r="1" spans="1:24">
      <c r="A1" s="32" t="s">
        <v>243</v>
      </c>
      <c r="B1" t="s">
        <v>237</v>
      </c>
      <c r="V1" s="32" t="s">
        <v>242</v>
      </c>
      <c r="W1" t="s">
        <v>241</v>
      </c>
    </row>
    <row r="2" spans="1:24">
      <c r="B2" t="s">
        <v>153</v>
      </c>
      <c r="C2" t="s">
        <v>236</v>
      </c>
      <c r="W2" t="s">
        <v>239</v>
      </c>
      <c r="X2" t="s">
        <v>240</v>
      </c>
    </row>
    <row r="3" spans="1:24">
      <c r="W3" t="s">
        <v>238</v>
      </c>
    </row>
    <row r="9" spans="1:24" ht="17.5" thickBot="1">
      <c r="A9" t="s">
        <v>312</v>
      </c>
    </row>
    <row r="10" spans="1:24" ht="18" thickTop="1" thickBot="1">
      <c r="A10" s="503" t="s">
        <v>311</v>
      </c>
      <c r="B10" s="505"/>
      <c r="C10" s="125" t="s">
        <v>44</v>
      </c>
      <c r="D10" s="125" t="s">
        <v>45</v>
      </c>
      <c r="E10" s="125" t="s">
        <v>46</v>
      </c>
      <c r="F10" s="126" t="s">
        <v>11</v>
      </c>
    </row>
    <row r="11" spans="1:24" ht="29.5" thickTop="1">
      <c r="A11" s="507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</row>
    <row r="12" spans="1:24" ht="29.5" thickBot="1">
      <c r="A12" s="511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24" ht="17.5" thickTop="1"/>
    <row r="16" spans="1:24" ht="18" thickBot="1">
      <c r="A16" s="157" t="s">
        <v>308</v>
      </c>
      <c r="L16" t="s">
        <v>317</v>
      </c>
      <c r="O16" s="157" t="s">
        <v>318</v>
      </c>
      <c r="X16" t="s">
        <v>317</v>
      </c>
    </row>
    <row r="17" spans="1:52" ht="17.5" thickTop="1">
      <c r="A17" s="523" t="s">
        <v>307</v>
      </c>
      <c r="B17" s="524"/>
      <c r="C17" s="524"/>
      <c r="D17" s="524"/>
      <c r="E17" s="525"/>
      <c r="F17" s="479" t="s">
        <v>165</v>
      </c>
      <c r="G17" s="480"/>
      <c r="H17" s="481"/>
      <c r="I17" s="105" t="s">
        <v>284</v>
      </c>
      <c r="J17" s="105" t="s">
        <v>286</v>
      </c>
      <c r="K17" s="105" t="s">
        <v>287</v>
      </c>
      <c r="L17" s="482" t="s">
        <v>21</v>
      </c>
      <c r="O17" s="527" t="s">
        <v>1</v>
      </c>
      <c r="P17" s="531" t="s">
        <v>288</v>
      </c>
      <c r="Q17" s="531"/>
      <c r="R17" s="531"/>
      <c r="S17" s="531"/>
      <c r="T17" s="531"/>
      <c r="U17" s="531"/>
      <c r="V17" s="531"/>
      <c r="W17" s="531"/>
      <c r="X17" s="531" t="s">
        <v>306</v>
      </c>
      <c r="Y17" s="531"/>
      <c r="Z17" s="531"/>
      <c r="AA17" s="531"/>
      <c r="AB17" s="531"/>
      <c r="AC17" s="531"/>
      <c r="AD17" s="531"/>
      <c r="AE17" s="531"/>
      <c r="AJ17" s="527" t="s">
        <v>1</v>
      </c>
      <c r="AK17" s="531" t="s">
        <v>288</v>
      </c>
      <c r="AL17" s="531"/>
      <c r="AM17" s="531"/>
      <c r="AN17" s="531"/>
      <c r="AO17" s="531"/>
      <c r="AP17" s="531"/>
      <c r="AQ17" s="531"/>
      <c r="AR17" s="531"/>
      <c r="AS17" s="531" t="s">
        <v>306</v>
      </c>
      <c r="AT17" s="531"/>
      <c r="AU17" s="531"/>
      <c r="AV17" s="531"/>
      <c r="AW17" s="531"/>
      <c r="AX17" s="531"/>
      <c r="AY17" s="531"/>
      <c r="AZ17" s="531"/>
    </row>
    <row r="18" spans="1:52" ht="17.5" thickBot="1">
      <c r="A18" s="526"/>
      <c r="B18" s="488"/>
      <c r="C18" s="488"/>
      <c r="D18" s="488"/>
      <c r="E18" s="489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83"/>
      <c r="O18" s="527"/>
      <c r="P18" s="520" t="s">
        <v>327</v>
      </c>
      <c r="Q18" s="521"/>
      <c r="R18" s="521"/>
      <c r="S18" s="521"/>
      <c r="T18" s="521"/>
      <c r="U18" s="522"/>
      <c r="V18" s="519" t="s">
        <v>250</v>
      </c>
      <c r="W18" s="519"/>
      <c r="X18" s="520" t="s">
        <v>327</v>
      </c>
      <c r="Y18" s="521"/>
      <c r="Z18" s="521"/>
      <c r="AA18" s="521"/>
      <c r="AB18" s="521"/>
      <c r="AC18" s="522"/>
      <c r="AD18" s="519" t="s">
        <v>250</v>
      </c>
      <c r="AE18" s="519"/>
      <c r="AJ18" s="527"/>
      <c r="AK18" s="520" t="s">
        <v>327</v>
      </c>
      <c r="AL18" s="521"/>
      <c r="AM18" s="521"/>
      <c r="AN18" s="521"/>
      <c r="AO18" s="521"/>
      <c r="AP18" s="522"/>
      <c r="AQ18" s="519" t="s">
        <v>250</v>
      </c>
      <c r="AR18" s="519"/>
      <c r="AS18" s="520" t="s">
        <v>327</v>
      </c>
      <c r="AT18" s="521"/>
      <c r="AU18" s="521"/>
      <c r="AV18" s="521"/>
      <c r="AW18" s="521"/>
      <c r="AX18" s="522"/>
      <c r="AY18" s="519" t="s">
        <v>250</v>
      </c>
      <c r="AZ18" s="519"/>
    </row>
    <row r="19" spans="1:52" ht="18" customHeight="1" thickTop="1">
      <c r="A19" s="507" t="s">
        <v>288</v>
      </c>
      <c r="B19" s="528" t="s">
        <v>26</v>
      </c>
      <c r="C19" s="529"/>
      <c r="D19" s="529"/>
      <c r="E19" s="530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527"/>
      <c r="P19" s="519" t="s">
        <v>325</v>
      </c>
      <c r="Q19" s="519"/>
      <c r="R19" s="519"/>
      <c r="S19" s="519"/>
      <c r="T19" s="519" t="s">
        <v>326</v>
      </c>
      <c r="U19" s="519"/>
      <c r="V19" s="519"/>
      <c r="W19" s="519"/>
      <c r="X19" s="519" t="s">
        <v>325</v>
      </c>
      <c r="Y19" s="519"/>
      <c r="Z19" s="519"/>
      <c r="AA19" s="519"/>
      <c r="AB19" s="519" t="s">
        <v>326</v>
      </c>
      <c r="AC19" s="519"/>
      <c r="AD19" s="519"/>
      <c r="AE19" s="519"/>
      <c r="AJ19" s="527"/>
      <c r="AK19" s="519" t="s">
        <v>325</v>
      </c>
      <c r="AL19" s="519"/>
      <c r="AM19" s="519"/>
      <c r="AN19" s="519"/>
      <c r="AO19" s="519" t="s">
        <v>326</v>
      </c>
      <c r="AP19" s="519"/>
      <c r="AQ19" s="519"/>
      <c r="AR19" s="519"/>
      <c r="AS19" s="519" t="s">
        <v>325</v>
      </c>
      <c r="AT19" s="519"/>
      <c r="AU19" s="519"/>
      <c r="AV19" s="519"/>
      <c r="AW19" s="519" t="s">
        <v>326</v>
      </c>
      <c r="AX19" s="519"/>
      <c r="AY19" s="519"/>
      <c r="AZ19" s="519"/>
    </row>
    <row r="20" spans="1:52">
      <c r="A20" s="508"/>
      <c r="B20" s="110" t="s">
        <v>289</v>
      </c>
      <c r="C20" s="490" t="s">
        <v>11</v>
      </c>
      <c r="D20" s="491"/>
      <c r="E20" s="496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527"/>
      <c r="P20" s="139" t="s">
        <v>314</v>
      </c>
      <c r="Q20" s="139" t="s">
        <v>285</v>
      </c>
      <c r="R20" s="104"/>
      <c r="S20" s="519" t="s">
        <v>166</v>
      </c>
      <c r="T20" s="519" t="s">
        <v>9</v>
      </c>
      <c r="U20" s="519" t="s">
        <v>10</v>
      </c>
      <c r="V20" s="519" t="s">
        <v>9</v>
      </c>
      <c r="W20" s="519" t="s">
        <v>10</v>
      </c>
      <c r="X20" s="139" t="s">
        <v>314</v>
      </c>
      <c r="Y20" s="139" t="s">
        <v>285</v>
      </c>
      <c r="Z20" s="104"/>
      <c r="AA20" s="519" t="s">
        <v>166</v>
      </c>
      <c r="AB20" s="519" t="s">
        <v>9</v>
      </c>
      <c r="AC20" s="519" t="s">
        <v>10</v>
      </c>
      <c r="AD20" s="519" t="s">
        <v>9</v>
      </c>
      <c r="AE20" s="519" t="s">
        <v>10</v>
      </c>
      <c r="AJ20" s="527"/>
      <c r="AK20" s="139" t="s">
        <v>314</v>
      </c>
      <c r="AL20" s="139" t="s">
        <v>285</v>
      </c>
      <c r="AM20" s="104"/>
      <c r="AN20" s="519" t="s">
        <v>166</v>
      </c>
      <c r="AO20" s="519" t="s">
        <v>9</v>
      </c>
      <c r="AP20" s="519" t="s">
        <v>10</v>
      </c>
      <c r="AQ20" s="519" t="s">
        <v>9</v>
      </c>
      <c r="AR20" s="519" t="s">
        <v>10</v>
      </c>
      <c r="AS20" s="139" t="s">
        <v>314</v>
      </c>
      <c r="AT20" s="139" t="s">
        <v>285</v>
      </c>
      <c r="AU20" s="104"/>
      <c r="AV20" s="519" t="s">
        <v>166</v>
      </c>
      <c r="AW20" s="519" t="s">
        <v>9</v>
      </c>
      <c r="AX20" s="519" t="s">
        <v>10</v>
      </c>
      <c r="AY20" s="519" t="s">
        <v>9</v>
      </c>
      <c r="AZ20" s="519" t="s">
        <v>10</v>
      </c>
    </row>
    <row r="21" spans="1:52">
      <c r="A21" s="508"/>
      <c r="B21" s="111" t="s">
        <v>290</v>
      </c>
      <c r="C21" s="110" t="s">
        <v>291</v>
      </c>
      <c r="D21" s="490" t="s">
        <v>292</v>
      </c>
      <c r="E21" s="496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527"/>
      <c r="P21" s="139" t="s">
        <v>44</v>
      </c>
      <c r="Q21" s="139" t="s">
        <v>45</v>
      </c>
      <c r="R21" s="139" t="s">
        <v>46</v>
      </c>
      <c r="S21" s="519"/>
      <c r="T21" s="519"/>
      <c r="U21" s="519"/>
      <c r="V21" s="519"/>
      <c r="W21" s="519"/>
      <c r="X21" s="139" t="s">
        <v>44</v>
      </c>
      <c r="Y21" s="139" t="s">
        <v>45</v>
      </c>
      <c r="Z21" s="139" t="s">
        <v>46</v>
      </c>
      <c r="AA21" s="519"/>
      <c r="AB21" s="519"/>
      <c r="AC21" s="519"/>
      <c r="AD21" s="519"/>
      <c r="AE21" s="519"/>
      <c r="AJ21" s="527"/>
      <c r="AK21" s="139" t="s">
        <v>44</v>
      </c>
      <c r="AL21" s="139" t="s">
        <v>45</v>
      </c>
      <c r="AM21" s="139" t="s">
        <v>46</v>
      </c>
      <c r="AN21" s="519"/>
      <c r="AO21" s="519"/>
      <c r="AP21" s="519"/>
      <c r="AQ21" s="519"/>
      <c r="AR21" s="519"/>
      <c r="AS21" s="139" t="s">
        <v>44</v>
      </c>
      <c r="AT21" s="139" t="s">
        <v>45</v>
      </c>
      <c r="AU21" s="139" t="s">
        <v>46</v>
      </c>
      <c r="AV21" s="519"/>
      <c r="AW21" s="519"/>
      <c r="AX21" s="519"/>
      <c r="AY21" s="519"/>
      <c r="AZ21" s="519"/>
    </row>
    <row r="22" spans="1:52">
      <c r="A22" s="508"/>
      <c r="B22" s="111" t="s">
        <v>19</v>
      </c>
      <c r="C22" s="116" t="s">
        <v>289</v>
      </c>
      <c r="D22" s="490" t="s">
        <v>293</v>
      </c>
      <c r="E22" s="496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140" t="s">
        <v>156</v>
      </c>
      <c r="P22" s="141">
        <f>AK22*0.01</f>
        <v>0.40700000000000003</v>
      </c>
      <c r="Q22" s="141">
        <f t="shared" ref="Q22:Q26" si="0">AL22*0.01</f>
        <v>7.0000000000000007E-2</v>
      </c>
      <c r="R22" s="141">
        <f t="shared" ref="R22:R26" si="1">AM22*0.01</f>
        <v>0.28199999999999997</v>
      </c>
      <c r="S22" s="141">
        <f t="shared" ref="S22:S26" si="2">AN22*0.01</f>
        <v>0.253</v>
      </c>
      <c r="T22" s="141">
        <f t="shared" ref="T22:T26" si="3">AO22*0.01</f>
        <v>0.26600000000000001</v>
      </c>
      <c r="U22" s="141">
        <f t="shared" ref="U22:U26" si="4">AP22*0.01</f>
        <v>0.28500000000000003</v>
      </c>
      <c r="V22" s="141">
        <f t="shared" ref="V22:V26" si="5">AQ22*0.01</f>
        <v>0.371</v>
      </c>
      <c r="W22" s="141">
        <f t="shared" ref="W22:W26" si="6">AR22*0.01</f>
        <v>0.34899999999999998</v>
      </c>
      <c r="X22" s="141">
        <f t="shared" ref="X22:X26" si="7">AS22*0.01</f>
        <v>0.40799999999999997</v>
      </c>
      <c r="Y22" s="141">
        <f t="shared" ref="Y22:Y26" si="8">AT22*0.01</f>
        <v>7.0999999999999994E-2</v>
      </c>
      <c r="Z22" s="141">
        <f t="shared" ref="Z22:Z26" si="9">AU22*0.01</f>
        <v>0.28399999999999997</v>
      </c>
      <c r="AA22" s="141">
        <f t="shared" ref="AA22:AA26" si="10">AV22*0.01</f>
        <v>0.254</v>
      </c>
      <c r="AB22" s="141">
        <f t="shared" ref="AB22:AB26" si="11">AW22*0.01</f>
        <v>0.26700000000000002</v>
      </c>
      <c r="AC22" s="141">
        <f t="shared" ref="AC22:AC26" si="12">AX22*0.01</f>
        <v>0.28699999999999998</v>
      </c>
      <c r="AD22" s="141">
        <f t="shared" ref="AD22:AD26" si="13">AY22*0.01</f>
        <v>0.37200000000000005</v>
      </c>
      <c r="AE22" s="141">
        <f t="shared" ref="AE22:AE26" si="14">AZ22*0.01</f>
        <v>0.35100000000000003</v>
      </c>
      <c r="AJ22" s="140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508"/>
      <c r="B23" s="112"/>
      <c r="C23" s="110" t="s">
        <v>294</v>
      </c>
      <c r="D23" s="490" t="s">
        <v>292</v>
      </c>
      <c r="E23" s="496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140" t="s">
        <v>157</v>
      </c>
      <c r="P23" s="141">
        <f t="shared" ref="P23:P26" si="15">AK23*0.01</f>
        <v>5.9000000000000004E-2</v>
      </c>
      <c r="Q23" s="141">
        <f t="shared" si="0"/>
        <v>2.4E-2</v>
      </c>
      <c r="R23" s="141">
        <f t="shared" si="1"/>
        <v>7.0000000000000007E-2</v>
      </c>
      <c r="S23" s="141">
        <f t="shared" si="2"/>
        <v>7.400000000000001E-2</v>
      </c>
      <c r="T23" s="141">
        <f t="shared" si="3"/>
        <v>1.9E-2</v>
      </c>
      <c r="U23" s="141">
        <f t="shared" si="4"/>
        <v>3.9E-2</v>
      </c>
      <c r="V23" s="141">
        <f t="shared" si="5"/>
        <v>9.6000000000000002E-2</v>
      </c>
      <c r="W23" s="141">
        <f t="shared" si="6"/>
        <v>9.3000000000000013E-2</v>
      </c>
      <c r="X23" s="141">
        <f t="shared" si="7"/>
        <v>5.9000000000000004E-2</v>
      </c>
      <c r="Y23" s="141">
        <f t="shared" si="8"/>
        <v>2.4E-2</v>
      </c>
      <c r="Z23" s="141">
        <f t="shared" si="9"/>
        <v>7.0999999999999994E-2</v>
      </c>
      <c r="AA23" s="141">
        <f t="shared" si="10"/>
        <v>7.4999999999999997E-2</v>
      </c>
      <c r="AB23" s="141">
        <f t="shared" si="11"/>
        <v>1.9E-2</v>
      </c>
      <c r="AC23" s="141">
        <f t="shared" si="12"/>
        <v>3.9E-2</v>
      </c>
      <c r="AD23" s="141">
        <f t="shared" si="13"/>
        <v>9.6999999999999989E-2</v>
      </c>
      <c r="AE23" s="141">
        <f t="shared" si="14"/>
        <v>9.4E-2</v>
      </c>
      <c r="AJ23" s="140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508"/>
      <c r="B24" s="112"/>
      <c r="C24" s="111" t="s">
        <v>289</v>
      </c>
      <c r="D24" s="515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140" t="s">
        <v>158</v>
      </c>
      <c r="P24" s="141">
        <f t="shared" si="15"/>
        <v>0.40100000000000002</v>
      </c>
      <c r="Q24" s="141">
        <f t="shared" si="0"/>
        <v>0.39100000000000001</v>
      </c>
      <c r="R24" s="141">
        <f t="shared" si="1"/>
        <v>0.40799999999999997</v>
      </c>
      <c r="S24" s="141">
        <f t="shared" si="2"/>
        <v>0.42</v>
      </c>
      <c r="T24" s="141">
        <f t="shared" si="3"/>
        <v>0.55299999999999994</v>
      </c>
      <c r="U24" s="141">
        <f t="shared" si="4"/>
        <v>0.19700000000000001</v>
      </c>
      <c r="V24" s="141">
        <f t="shared" si="5"/>
        <v>0.34799999999999998</v>
      </c>
      <c r="W24" s="141">
        <f t="shared" si="6"/>
        <v>0.35799999999999998</v>
      </c>
      <c r="X24" s="141">
        <f t="shared" si="7"/>
        <v>0.4</v>
      </c>
      <c r="Y24" s="141">
        <f t="shared" si="8"/>
        <v>0.39200000000000002</v>
      </c>
      <c r="Z24" s="141">
        <f t="shared" si="9"/>
        <v>0.40799999999999997</v>
      </c>
      <c r="AA24" s="141">
        <f t="shared" si="10"/>
        <v>0.42</v>
      </c>
      <c r="AB24" s="141">
        <f t="shared" si="11"/>
        <v>0.55299999999999994</v>
      </c>
      <c r="AC24" s="141">
        <f t="shared" si="12"/>
        <v>0.19700000000000001</v>
      </c>
      <c r="AD24" s="141">
        <f t="shared" si="13"/>
        <v>0.34799999999999998</v>
      </c>
      <c r="AE24" s="141">
        <f t="shared" si="14"/>
        <v>0.35700000000000004</v>
      </c>
      <c r="AJ24" s="140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508"/>
      <c r="B25" s="112"/>
      <c r="C25" s="112"/>
      <c r="D25" s="494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140" t="s">
        <v>46</v>
      </c>
      <c r="P25" s="141">
        <f t="shared" si="15"/>
        <v>0.13300000000000001</v>
      </c>
      <c r="Q25" s="141">
        <f t="shared" si="0"/>
        <v>0.51400000000000001</v>
      </c>
      <c r="R25" s="141">
        <f t="shared" si="1"/>
        <v>0.23899999999999999</v>
      </c>
      <c r="S25" s="141">
        <f t="shared" si="2"/>
        <v>0.253</v>
      </c>
      <c r="T25" s="141">
        <f t="shared" si="3"/>
        <v>0.16200000000000001</v>
      </c>
      <c r="U25" s="141">
        <f t="shared" si="4"/>
        <v>0.47899999999999998</v>
      </c>
      <c r="V25" s="141">
        <f t="shared" si="5"/>
        <v>0.185</v>
      </c>
      <c r="W25" s="141">
        <f t="shared" si="6"/>
        <v>0.19899999999999998</v>
      </c>
      <c r="X25" s="141">
        <f t="shared" si="7"/>
        <v>0.13200000000000001</v>
      </c>
      <c r="Y25" s="141">
        <f t="shared" si="8"/>
        <v>0.51300000000000001</v>
      </c>
      <c r="Z25" s="141">
        <f t="shared" si="9"/>
        <v>0.23800000000000002</v>
      </c>
      <c r="AA25" s="141">
        <f t="shared" si="10"/>
        <v>0.251</v>
      </c>
      <c r="AB25" s="141">
        <f t="shared" si="11"/>
        <v>0.161</v>
      </c>
      <c r="AC25" s="141">
        <f t="shared" si="12"/>
        <v>0.47600000000000003</v>
      </c>
      <c r="AD25" s="141">
        <f t="shared" si="13"/>
        <v>0.18300000000000002</v>
      </c>
      <c r="AE25" s="141">
        <f t="shared" si="14"/>
        <v>0.19800000000000001</v>
      </c>
      <c r="AJ25" s="140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508"/>
      <c r="B26" s="112"/>
      <c r="C26" s="112"/>
      <c r="D26" s="495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140" t="s">
        <v>11</v>
      </c>
      <c r="P26" s="141">
        <f t="shared" si="15"/>
        <v>1</v>
      </c>
      <c r="Q26" s="141">
        <f t="shared" si="0"/>
        <v>1</v>
      </c>
      <c r="R26" s="141">
        <f t="shared" si="1"/>
        <v>1</v>
      </c>
      <c r="S26" s="141">
        <f t="shared" si="2"/>
        <v>1</v>
      </c>
      <c r="T26" s="141">
        <f t="shared" si="3"/>
        <v>1</v>
      </c>
      <c r="U26" s="141">
        <f t="shared" si="4"/>
        <v>1</v>
      </c>
      <c r="V26" s="141">
        <f t="shared" si="5"/>
        <v>1</v>
      </c>
      <c r="W26" s="141">
        <f t="shared" si="6"/>
        <v>1</v>
      </c>
      <c r="X26" s="141">
        <f t="shared" si="7"/>
        <v>1</v>
      </c>
      <c r="Y26" s="141">
        <f t="shared" si="8"/>
        <v>1</v>
      </c>
      <c r="Z26" s="141">
        <f t="shared" si="9"/>
        <v>1</v>
      </c>
      <c r="AA26" s="141">
        <f t="shared" si="10"/>
        <v>1</v>
      </c>
      <c r="AB26" s="141">
        <f t="shared" si="11"/>
        <v>1</v>
      </c>
      <c r="AC26" s="141">
        <f t="shared" si="12"/>
        <v>1</v>
      </c>
      <c r="AD26" s="141">
        <f t="shared" si="13"/>
        <v>1</v>
      </c>
      <c r="AE26" s="141">
        <f t="shared" si="14"/>
        <v>1</v>
      </c>
      <c r="AJ26" s="140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508"/>
      <c r="B27" s="112"/>
      <c r="C27" s="112"/>
      <c r="D27" s="11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508"/>
      <c r="B28" s="112"/>
      <c r="C28" s="112"/>
      <c r="D28" s="111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508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508"/>
      <c r="B30" s="113"/>
      <c r="C30" s="490" t="s">
        <v>13</v>
      </c>
      <c r="D30" s="491"/>
      <c r="E30" s="496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508"/>
      <c r="B31" s="110" t="s">
        <v>300</v>
      </c>
      <c r="C31" s="490" t="s">
        <v>301</v>
      </c>
      <c r="D31" s="491"/>
      <c r="E31" s="496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508"/>
      <c r="B32" s="111" t="s">
        <v>20</v>
      </c>
      <c r="C32" s="490" t="s">
        <v>302</v>
      </c>
      <c r="D32" s="491"/>
      <c r="E32" s="496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48">
      <c r="A33" s="508"/>
      <c r="B33" s="111" t="s">
        <v>19</v>
      </c>
      <c r="C33" s="490" t="s">
        <v>303</v>
      </c>
      <c r="D33" s="491"/>
      <c r="E33" s="496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48" ht="17.5" thickBot="1">
      <c r="A34" s="508"/>
      <c r="B34" s="112"/>
      <c r="C34" s="490" t="s">
        <v>304</v>
      </c>
      <c r="D34" s="491"/>
      <c r="E34" s="496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48" ht="18" thickTop="1" thickBot="1">
      <c r="A35" s="508"/>
      <c r="B35" s="112"/>
      <c r="C35" s="490" t="s">
        <v>305</v>
      </c>
      <c r="D35" s="491"/>
      <c r="E35" s="496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503" t="s">
        <v>1</v>
      </c>
      <c r="AD35" s="504"/>
      <c r="AE35" s="504"/>
      <c r="AF35" s="504"/>
      <c r="AG35" s="505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48" ht="18" thickTop="1" thickBot="1">
      <c r="A36" s="511"/>
      <c r="B36" s="119"/>
      <c r="C36" s="501" t="s">
        <v>47</v>
      </c>
      <c r="D36" s="506"/>
      <c r="E36" s="502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507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48" ht="17.5" thickTop="1">
      <c r="A37" s="510" t="s">
        <v>306</v>
      </c>
      <c r="B37" s="512" t="s">
        <v>26</v>
      </c>
      <c r="C37" s="513"/>
      <c r="D37" s="513"/>
      <c r="E37" s="514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508"/>
      <c r="AD37" s="111" t="s">
        <v>19</v>
      </c>
      <c r="AE37" s="111" t="s">
        <v>294</v>
      </c>
      <c r="AF37" s="111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48">
      <c r="A38" s="508"/>
      <c r="B38" s="110" t="s">
        <v>289</v>
      </c>
      <c r="C38" s="490" t="s">
        <v>11</v>
      </c>
      <c r="D38" s="491"/>
      <c r="E38" s="496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508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48">
      <c r="A39" s="508"/>
      <c r="B39" s="111" t="s">
        <v>290</v>
      </c>
      <c r="C39" s="110" t="s">
        <v>291</v>
      </c>
      <c r="D39" s="490" t="s">
        <v>292</v>
      </c>
      <c r="E39" s="496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508"/>
      <c r="AD39" s="112"/>
      <c r="AE39" s="113"/>
      <c r="AF39" s="490" t="s">
        <v>166</v>
      </c>
      <c r="AG39" s="496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48">
      <c r="A40" s="508"/>
      <c r="B40" s="111" t="s">
        <v>19</v>
      </c>
      <c r="C40" s="116" t="s">
        <v>289</v>
      </c>
      <c r="D40" s="490" t="s">
        <v>293</v>
      </c>
      <c r="E40" s="496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508"/>
      <c r="AD40" s="112"/>
      <c r="AE40" s="110" t="s">
        <v>315</v>
      </c>
      <c r="AF40" s="490" t="s">
        <v>9</v>
      </c>
      <c r="AG40" s="496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48">
      <c r="A41" s="508"/>
      <c r="B41" s="112"/>
      <c r="C41" s="110" t="s">
        <v>294</v>
      </c>
      <c r="D41" s="490" t="s">
        <v>292</v>
      </c>
      <c r="E41" s="496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508"/>
      <c r="AD41" s="113"/>
      <c r="AE41" s="116" t="s">
        <v>316</v>
      </c>
      <c r="AF41" s="490" t="s">
        <v>10</v>
      </c>
      <c r="AG41" s="496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48">
      <c r="A42" s="508"/>
      <c r="B42" s="112"/>
      <c r="C42" s="111" t="s">
        <v>289</v>
      </c>
      <c r="D42" s="515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508"/>
      <c r="AD42" s="497" t="s">
        <v>250</v>
      </c>
      <c r="AE42" s="498"/>
      <c r="AF42" s="490" t="s">
        <v>9</v>
      </c>
      <c r="AG42" s="496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48">
      <c r="A43" s="508"/>
      <c r="B43" s="112"/>
      <c r="C43" s="112"/>
      <c r="D43" s="494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09"/>
      <c r="AD43" s="516"/>
      <c r="AE43" s="517"/>
      <c r="AF43" s="490" t="s">
        <v>10</v>
      </c>
      <c r="AG43" s="496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48" ht="29">
      <c r="A44" s="508"/>
      <c r="B44" s="112"/>
      <c r="C44" s="112"/>
      <c r="D44" s="495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18" t="s">
        <v>306</v>
      </c>
      <c r="AD44" s="110" t="s">
        <v>313</v>
      </c>
      <c r="AE44" s="110" t="s">
        <v>291</v>
      </c>
      <c r="AF44" s="11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  <c r="AT44" t="s">
        <v>216</v>
      </c>
      <c r="AU44" t="s">
        <v>148</v>
      </c>
      <c r="AV44" s="32" t="s">
        <v>74</v>
      </c>
    </row>
    <row r="45" spans="1:48">
      <c r="A45" s="508"/>
      <c r="B45" s="112"/>
      <c r="C45" s="112"/>
      <c r="D45" s="11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508"/>
      <c r="AD45" s="111" t="s">
        <v>19</v>
      </c>
      <c r="AE45" s="111" t="s">
        <v>294</v>
      </c>
      <c r="AF45" s="111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  <c r="AT45" t="s">
        <v>135</v>
      </c>
      <c r="AU45" t="s">
        <v>73</v>
      </c>
      <c r="AV45" s="75"/>
    </row>
    <row r="46" spans="1:48" ht="29">
      <c r="A46" s="508"/>
      <c r="B46" s="112"/>
      <c r="C46" s="112"/>
      <c r="D46" s="111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508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  <c r="AT46" t="s">
        <v>135</v>
      </c>
      <c r="AU46" t="s">
        <v>217</v>
      </c>
      <c r="AV46" s="75"/>
    </row>
    <row r="47" spans="1:48">
      <c r="A47" s="508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508"/>
      <c r="AD47" s="112"/>
      <c r="AE47" s="113"/>
      <c r="AF47" s="490" t="s">
        <v>166</v>
      </c>
      <c r="AG47" s="496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  <c r="AT47" t="s">
        <v>135</v>
      </c>
      <c r="AU47" t="s">
        <v>359</v>
      </c>
      <c r="AV47" s="75"/>
    </row>
    <row r="48" spans="1:48">
      <c r="A48" s="508"/>
      <c r="B48" s="113"/>
      <c r="C48" s="490" t="s">
        <v>13</v>
      </c>
      <c r="D48" s="491"/>
      <c r="E48" s="496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508"/>
      <c r="AD48" s="112"/>
      <c r="AE48" s="110" t="s">
        <v>315</v>
      </c>
      <c r="AF48" s="490" t="s">
        <v>9</v>
      </c>
      <c r="AG48" s="496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  <c r="AT48" t="s">
        <v>135</v>
      </c>
      <c r="AU48" t="s">
        <v>360</v>
      </c>
      <c r="AV48" s="75"/>
    </row>
    <row r="49" spans="1:48">
      <c r="A49" s="508"/>
      <c r="B49" s="110" t="s">
        <v>300</v>
      </c>
      <c r="C49" s="490" t="s">
        <v>301</v>
      </c>
      <c r="D49" s="491"/>
      <c r="E49" s="496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508"/>
      <c r="AD49" s="113"/>
      <c r="AE49" s="116" t="s">
        <v>316</v>
      </c>
      <c r="AF49" s="490" t="s">
        <v>10</v>
      </c>
      <c r="AG49" s="496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  <c r="AT49" t="s">
        <v>135</v>
      </c>
      <c r="AU49" t="s">
        <v>361</v>
      </c>
      <c r="AV49" s="75"/>
    </row>
    <row r="50" spans="1:48">
      <c r="A50" s="508"/>
      <c r="B50" s="111" t="s">
        <v>20</v>
      </c>
      <c r="C50" s="490" t="s">
        <v>302</v>
      </c>
      <c r="D50" s="491"/>
      <c r="E50" s="496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508"/>
      <c r="AD50" s="497" t="s">
        <v>250</v>
      </c>
      <c r="AE50" s="498"/>
      <c r="AF50" s="490" t="s">
        <v>9</v>
      </c>
      <c r="AG50" s="496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  <c r="AT50" t="s">
        <v>135</v>
      </c>
      <c r="AU50" t="s">
        <v>362</v>
      </c>
      <c r="AV50" s="75"/>
    </row>
    <row r="51" spans="1:48" ht="17.5" thickBot="1">
      <c r="A51" s="508"/>
      <c r="B51" s="111" t="s">
        <v>19</v>
      </c>
      <c r="C51" s="490" t="s">
        <v>303</v>
      </c>
      <c r="D51" s="491"/>
      <c r="E51" s="496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511"/>
      <c r="AD51" s="499"/>
      <c r="AE51" s="500"/>
      <c r="AF51" s="501" t="s">
        <v>10</v>
      </c>
      <c r="AG51" s="502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  <c r="AT51" t="s">
        <v>135</v>
      </c>
      <c r="AU51" t="s">
        <v>363</v>
      </c>
      <c r="AV51" s="75"/>
    </row>
    <row r="52" spans="1:48" ht="17.5" thickTop="1">
      <c r="A52" s="508"/>
      <c r="B52" s="112"/>
      <c r="C52" s="490" t="s">
        <v>304</v>
      </c>
      <c r="D52" s="491"/>
      <c r="E52" s="496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  <c r="AT52" t="s">
        <v>370</v>
      </c>
      <c r="AU52" t="s">
        <v>371</v>
      </c>
      <c r="AV52" s="75"/>
    </row>
    <row r="53" spans="1:48">
      <c r="A53" s="508"/>
      <c r="B53" s="112"/>
      <c r="C53" s="490" t="s">
        <v>305</v>
      </c>
      <c r="D53" s="491"/>
      <c r="E53" s="496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  <c r="AT53" t="s">
        <v>370</v>
      </c>
      <c r="AU53" t="s">
        <v>76</v>
      </c>
      <c r="AV53" s="75"/>
    </row>
    <row r="54" spans="1:48" ht="17.5" thickBot="1">
      <c r="A54" s="511"/>
      <c r="B54" s="119"/>
      <c r="C54" s="501" t="s">
        <v>47</v>
      </c>
      <c r="D54" s="506"/>
      <c r="E54" s="502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  <c r="AT54" t="s">
        <v>370</v>
      </c>
      <c r="AU54" t="s">
        <v>220</v>
      </c>
      <c r="AV54" s="75"/>
    </row>
    <row r="55" spans="1:48" ht="17.5" thickTop="1">
      <c r="AT55" t="s">
        <v>370</v>
      </c>
      <c r="AU55" t="s">
        <v>221</v>
      </c>
      <c r="AV55" s="75"/>
    </row>
    <row r="56" spans="1:48">
      <c r="AT56" t="s">
        <v>370</v>
      </c>
      <c r="AU56" t="s">
        <v>372</v>
      </c>
      <c r="AV56" s="75"/>
    </row>
    <row r="57" spans="1:48" ht="34">
      <c r="AT57" s="163" t="s">
        <v>374</v>
      </c>
      <c r="AU57" t="s">
        <v>373</v>
      </c>
      <c r="AV57" s="75"/>
    </row>
    <row r="58" spans="1:48" ht="23">
      <c r="A58" s="154" t="s">
        <v>333</v>
      </c>
      <c r="Z58" s="154" t="s">
        <v>336</v>
      </c>
      <c r="AJ58" s="102" t="s">
        <v>338</v>
      </c>
      <c r="AT58" t="s">
        <v>375</v>
      </c>
      <c r="AU58" t="s">
        <v>376</v>
      </c>
      <c r="AV58" s="75"/>
    </row>
    <row r="59" spans="1:48">
      <c r="A59" s="32" t="s">
        <v>308</v>
      </c>
      <c r="W59" t="s">
        <v>317</v>
      </c>
      <c r="Z59" s="32" t="s">
        <v>308</v>
      </c>
      <c r="AJ59" s="32" t="s">
        <v>308</v>
      </c>
      <c r="AT59" t="s">
        <v>375</v>
      </c>
      <c r="AU59" t="s">
        <v>79</v>
      </c>
      <c r="AV59" s="75"/>
    </row>
    <row r="60" spans="1:48" ht="18" customHeight="1" thickBot="1">
      <c r="F60" s="655" t="s">
        <v>319</v>
      </c>
      <c r="G60" s="655"/>
      <c r="H60" s="655"/>
      <c r="I60" s="655"/>
      <c r="J60" s="655"/>
      <c r="K60" s="655"/>
      <c r="L60" s="655" t="s">
        <v>320</v>
      </c>
      <c r="M60" s="655"/>
      <c r="N60" s="655"/>
      <c r="O60" s="655"/>
      <c r="P60" s="655"/>
      <c r="Q60" s="655"/>
      <c r="R60" s="655" t="s">
        <v>321</v>
      </c>
      <c r="S60" s="655"/>
      <c r="T60" s="655"/>
      <c r="U60" s="655"/>
      <c r="V60" s="655"/>
      <c r="W60" s="655"/>
      <c r="AE60" s="32" t="s">
        <v>334</v>
      </c>
      <c r="AF60" s="32" t="s">
        <v>335</v>
      </c>
      <c r="AG60" s="32" t="s">
        <v>321</v>
      </c>
      <c r="AO60" s="32" t="s">
        <v>334</v>
      </c>
      <c r="AP60" s="32" t="s">
        <v>335</v>
      </c>
      <c r="AQ60" s="32" t="s">
        <v>321</v>
      </c>
      <c r="AT60" t="s">
        <v>375</v>
      </c>
      <c r="AU60" t="s">
        <v>223</v>
      </c>
      <c r="AV60" s="75"/>
    </row>
    <row r="61" spans="1:48" ht="34">
      <c r="A61" s="484" t="s">
        <v>307</v>
      </c>
      <c r="B61" s="485"/>
      <c r="C61" s="485"/>
      <c r="D61" s="485"/>
      <c r="E61" s="486"/>
      <c r="F61" s="142" t="s">
        <v>165</v>
      </c>
      <c r="G61" s="143"/>
      <c r="H61" s="143"/>
      <c r="I61" s="485" t="s">
        <v>328</v>
      </c>
      <c r="J61" s="485" t="s">
        <v>329</v>
      </c>
      <c r="K61" s="485" t="s">
        <v>330</v>
      </c>
      <c r="L61" s="143"/>
      <c r="M61" s="143"/>
      <c r="N61" s="143"/>
      <c r="O61" s="485" t="s">
        <v>328</v>
      </c>
      <c r="P61" s="485" t="s">
        <v>329</v>
      </c>
      <c r="Q61" s="485" t="s">
        <v>330</v>
      </c>
      <c r="R61" s="143"/>
      <c r="S61" s="143"/>
      <c r="T61" s="144"/>
      <c r="U61" s="485" t="s">
        <v>328</v>
      </c>
      <c r="V61" s="485" t="s">
        <v>329</v>
      </c>
      <c r="W61" s="657" t="s">
        <v>330</v>
      </c>
      <c r="Z61" s="484" t="s">
        <v>307</v>
      </c>
      <c r="AA61" s="485"/>
      <c r="AB61" s="485"/>
      <c r="AC61" s="485"/>
      <c r="AD61" s="486"/>
      <c r="AJ61" s="484" t="s">
        <v>307</v>
      </c>
      <c r="AK61" s="485"/>
      <c r="AL61" s="485"/>
      <c r="AM61" s="485"/>
      <c r="AN61" s="486"/>
      <c r="AT61" s="163" t="s">
        <v>378</v>
      </c>
      <c r="AU61" t="s">
        <v>377</v>
      </c>
      <c r="AV61" s="75"/>
    </row>
    <row r="62" spans="1:48" ht="17.5" thickBot="1">
      <c r="A62" s="487"/>
      <c r="B62" s="488"/>
      <c r="C62" s="488"/>
      <c r="D62" s="488"/>
      <c r="E62" s="489"/>
      <c r="F62" s="148" t="s">
        <v>44</v>
      </c>
      <c r="G62" s="148" t="s">
        <v>45</v>
      </c>
      <c r="H62" s="148" t="s">
        <v>46</v>
      </c>
      <c r="I62" s="656"/>
      <c r="J62" s="656"/>
      <c r="K62" s="656"/>
      <c r="L62" s="148" t="s">
        <v>44</v>
      </c>
      <c r="M62" s="148" t="s">
        <v>45</v>
      </c>
      <c r="N62" s="148" t="s">
        <v>46</v>
      </c>
      <c r="O62" s="656"/>
      <c r="P62" s="656"/>
      <c r="Q62" s="656"/>
      <c r="R62" s="148" t="s">
        <v>44</v>
      </c>
      <c r="S62" s="148" t="s">
        <v>45</v>
      </c>
      <c r="T62" s="148" t="s">
        <v>46</v>
      </c>
      <c r="U62" s="656"/>
      <c r="V62" s="656"/>
      <c r="W62" s="658"/>
      <c r="Z62" s="487"/>
      <c r="AA62" s="488"/>
      <c r="AB62" s="488"/>
      <c r="AC62" s="488"/>
      <c r="AD62" s="489"/>
      <c r="AJ62" s="487"/>
      <c r="AK62" s="488"/>
      <c r="AL62" s="488"/>
      <c r="AM62" s="488"/>
      <c r="AN62" s="489"/>
      <c r="AT62" t="s">
        <v>379</v>
      </c>
      <c r="AU62" t="s">
        <v>380</v>
      </c>
      <c r="AV62" s="75"/>
    </row>
    <row r="63" spans="1:48" ht="17.5" thickTop="1">
      <c r="A63" s="145">
        <v>2023</v>
      </c>
      <c r="B63" s="110" t="s">
        <v>289</v>
      </c>
      <c r="C63" s="110"/>
      <c r="D63" s="490" t="s">
        <v>324</v>
      </c>
      <c r="E63" s="491"/>
      <c r="F63" s="149">
        <f>F21*P$22</f>
        <v>177.85900000000001</v>
      </c>
      <c r="G63" s="149">
        <f t="shared" ref="G63:I63" si="16">G21*Q$22</f>
        <v>9.1000000000000014</v>
      </c>
      <c r="H63" s="149">
        <f t="shared" si="16"/>
        <v>140.71799999999999</v>
      </c>
      <c r="I63" s="149">
        <f t="shared" si="16"/>
        <v>113.34399999999999</v>
      </c>
      <c r="J63" s="149">
        <f t="shared" ref="J63" si="17">J21*T$22</f>
        <v>0</v>
      </c>
      <c r="K63" s="149">
        <f t="shared" ref="K63" si="18">K21*U$22</f>
        <v>0</v>
      </c>
      <c r="L63" s="149">
        <f>F21*P$23</f>
        <v>25.783000000000001</v>
      </c>
      <c r="M63" s="149">
        <f>G21*Q$23</f>
        <v>3.12</v>
      </c>
      <c r="N63" s="149">
        <f>H21*R$23</f>
        <v>34.930000000000007</v>
      </c>
      <c r="O63" s="149">
        <f>I21*S$23</f>
        <v>33.152000000000001</v>
      </c>
      <c r="P63" s="149">
        <f t="shared" ref="P63:Q63" si="19">J21*T$23</f>
        <v>0</v>
      </c>
      <c r="Q63" s="149">
        <f t="shared" si="19"/>
        <v>0</v>
      </c>
      <c r="R63" s="101">
        <f>F21*P$24</f>
        <v>175.23700000000002</v>
      </c>
      <c r="S63" s="101">
        <f>G21*Q$24</f>
        <v>50.83</v>
      </c>
      <c r="T63" s="101">
        <f>H21*R$24</f>
        <v>203.59199999999998</v>
      </c>
      <c r="U63" s="101">
        <f>I21*S$24</f>
        <v>188.16</v>
      </c>
      <c r="V63" s="101">
        <f t="shared" ref="V63:W63" si="20">J21*T$24</f>
        <v>0</v>
      </c>
      <c r="W63" s="150">
        <f t="shared" si="20"/>
        <v>0</v>
      </c>
      <c r="Z63" s="145">
        <v>2023</v>
      </c>
      <c r="AA63" s="110" t="s">
        <v>289</v>
      </c>
      <c r="AB63" s="110"/>
      <c r="AC63" s="490" t="s">
        <v>324</v>
      </c>
      <c r="AD63" s="491"/>
      <c r="AE63" s="34">
        <f>SUM(F63:K63)</f>
        <v>441.02100000000002</v>
      </c>
      <c r="AF63" s="34">
        <f>SUM(L63:Q63)</f>
        <v>96.985000000000014</v>
      </c>
      <c r="AG63" s="34">
        <f>SUM(R63:W63)</f>
        <v>617.81899999999996</v>
      </c>
      <c r="AI63" t="s">
        <v>364</v>
      </c>
      <c r="AJ63" s="145">
        <v>2023</v>
      </c>
      <c r="AK63" s="110" t="s">
        <v>289</v>
      </c>
      <c r="AL63" s="110"/>
      <c r="AM63" s="490" t="s">
        <v>324</v>
      </c>
      <c r="AN63" s="491"/>
      <c r="AO63" s="159">
        <f>AE63/$P$31</f>
        <v>277.37169811320751</v>
      </c>
      <c r="AP63" s="159">
        <f>AF63/$Q$31</f>
        <v>57.050000000000011</v>
      </c>
      <c r="AQ63" s="159">
        <f>AG63/$R$31</f>
        <v>20.593966666666667</v>
      </c>
      <c r="AT63" t="s">
        <v>379</v>
      </c>
      <c r="AU63" t="s">
        <v>381</v>
      </c>
      <c r="AV63" s="75"/>
    </row>
    <row r="64" spans="1:48">
      <c r="A64" s="145"/>
      <c r="B64" s="111" t="s">
        <v>290</v>
      </c>
      <c r="C64" s="112"/>
      <c r="D64" s="494" t="s">
        <v>322</v>
      </c>
      <c r="E64" s="41" t="s">
        <v>296</v>
      </c>
      <c r="F64" s="149">
        <f>F25*P$22</f>
        <v>3870.9770000000003</v>
      </c>
      <c r="G64" s="149">
        <f t="shared" ref="G64:I64" si="21">G25*Q$22</f>
        <v>198.87000000000003</v>
      </c>
      <c r="H64" s="149">
        <f t="shared" si="21"/>
        <v>3063.3659999999995</v>
      </c>
      <c r="I64" s="149">
        <f t="shared" si="21"/>
        <v>3060.5410000000002</v>
      </c>
      <c r="J64" s="149">
        <f t="shared" ref="J64:J65" si="22">J25*T$22</f>
        <v>0</v>
      </c>
      <c r="K64" s="149">
        <f t="shared" ref="K64:K65" si="23">K25*U$22</f>
        <v>0</v>
      </c>
      <c r="L64" s="101">
        <f t="shared" ref="L64:O65" si="24">F25*P$23</f>
        <v>561.149</v>
      </c>
      <c r="M64" s="101">
        <f t="shared" si="24"/>
        <v>68.183999999999997</v>
      </c>
      <c r="N64" s="101">
        <f t="shared" si="24"/>
        <v>760.41000000000008</v>
      </c>
      <c r="O64" s="101">
        <f t="shared" si="24"/>
        <v>895.17800000000011</v>
      </c>
      <c r="P64" s="101">
        <f t="shared" ref="P64:Q64" si="25">J25*T$23</f>
        <v>0</v>
      </c>
      <c r="Q64" s="101">
        <f t="shared" si="25"/>
        <v>0</v>
      </c>
      <c r="R64" s="101">
        <f t="shared" ref="R64:U65" si="26">F25*P$24</f>
        <v>3813.9110000000001</v>
      </c>
      <c r="S64" s="101">
        <f t="shared" si="26"/>
        <v>1110.8310000000001</v>
      </c>
      <c r="T64" s="101">
        <f t="shared" si="26"/>
        <v>4432.1039999999994</v>
      </c>
      <c r="U64" s="101">
        <f t="shared" si="26"/>
        <v>5080.74</v>
      </c>
      <c r="V64" s="101">
        <f t="shared" ref="V64:W64" si="27">J25*T$24</f>
        <v>0</v>
      </c>
      <c r="W64" s="150">
        <f t="shared" si="27"/>
        <v>0</v>
      </c>
      <c r="Z64" s="145"/>
      <c r="AA64" s="111" t="s">
        <v>290</v>
      </c>
      <c r="AB64" s="112"/>
      <c r="AC64" s="494" t="s">
        <v>322</v>
      </c>
      <c r="AD64" s="41" t="s">
        <v>296</v>
      </c>
      <c r="AE64" s="34">
        <f t="shared" ref="AE64:AE74" si="28">SUM(F64:K64)</f>
        <v>10193.754000000001</v>
      </c>
      <c r="AF64" s="34">
        <f t="shared" ref="AF64:AF74" si="29">SUM(L64:Q64)</f>
        <v>2284.9210000000003</v>
      </c>
      <c r="AG64" s="34">
        <f t="shared" ref="AG64:AG74" si="30">SUM(R64:W64)</f>
        <v>14437.585999999999</v>
      </c>
      <c r="AI64" t="s">
        <v>365</v>
      </c>
      <c r="AJ64" s="145"/>
      <c r="AK64" s="111" t="s">
        <v>290</v>
      </c>
      <c r="AL64" s="112"/>
      <c r="AM64" s="494" t="s">
        <v>322</v>
      </c>
      <c r="AN64" s="41" t="s">
        <v>296</v>
      </c>
      <c r="AO64" s="159">
        <f t="shared" ref="AO64:AO74" si="31">AE64/$P$31</f>
        <v>6411.1660377358494</v>
      </c>
      <c r="AP64" s="159">
        <f t="shared" ref="AP64:AP74" si="32">AF64/$Q$31</f>
        <v>1344.0711764705884</v>
      </c>
      <c r="AQ64" s="159">
        <f t="shared" ref="AQ64:AQ74" si="33">AG64/$R$31</f>
        <v>481.25286666666665</v>
      </c>
      <c r="AT64" t="s">
        <v>379</v>
      </c>
      <c r="AU64" t="s">
        <v>382</v>
      </c>
      <c r="AV64" s="75"/>
    </row>
    <row r="65" spans="1:48" ht="29">
      <c r="A65" s="145"/>
      <c r="B65" s="111" t="s">
        <v>19</v>
      </c>
      <c r="C65" s="112"/>
      <c r="D65" s="495"/>
      <c r="E65" s="41" t="s">
        <v>297</v>
      </c>
      <c r="F65" s="149">
        <f>F26*P$22</f>
        <v>2909.643</v>
      </c>
      <c r="G65" s="149">
        <f t="shared" ref="G65:I65" si="34">G26*Q$22</f>
        <v>149.52000000000001</v>
      </c>
      <c r="H65" s="149">
        <f t="shared" si="34"/>
        <v>2302.5299999999997</v>
      </c>
      <c r="I65" s="149">
        <f t="shared" si="34"/>
        <v>1857.02</v>
      </c>
      <c r="J65" s="149">
        <f t="shared" si="22"/>
        <v>0</v>
      </c>
      <c r="K65" s="149">
        <f t="shared" si="23"/>
        <v>0</v>
      </c>
      <c r="L65" s="101">
        <f t="shared" si="24"/>
        <v>421.79100000000005</v>
      </c>
      <c r="M65" s="101">
        <f t="shared" si="24"/>
        <v>51.264000000000003</v>
      </c>
      <c r="N65" s="101">
        <f t="shared" si="24"/>
        <v>571.55000000000007</v>
      </c>
      <c r="O65" s="101">
        <f t="shared" si="24"/>
        <v>543.16000000000008</v>
      </c>
      <c r="P65" s="101">
        <f t="shared" ref="P65:Q65" si="35">J26*T$23</f>
        <v>0</v>
      </c>
      <c r="Q65" s="101">
        <f t="shared" si="35"/>
        <v>0</v>
      </c>
      <c r="R65" s="101">
        <f t="shared" si="26"/>
        <v>2866.7490000000003</v>
      </c>
      <c r="S65" s="101">
        <f t="shared" si="26"/>
        <v>835.17600000000004</v>
      </c>
      <c r="T65" s="101">
        <f t="shared" si="26"/>
        <v>3331.3199999999997</v>
      </c>
      <c r="U65" s="101">
        <f t="shared" si="26"/>
        <v>3082.7999999999997</v>
      </c>
      <c r="V65" s="101">
        <f t="shared" ref="V65:W65" si="36">J26*T$24</f>
        <v>0</v>
      </c>
      <c r="W65" s="150">
        <f t="shared" si="36"/>
        <v>0</v>
      </c>
      <c r="Z65" s="145"/>
      <c r="AA65" s="111" t="s">
        <v>19</v>
      </c>
      <c r="AB65" s="112"/>
      <c r="AC65" s="495"/>
      <c r="AD65" s="41" t="s">
        <v>297</v>
      </c>
      <c r="AE65" s="34">
        <f t="shared" si="28"/>
        <v>7218.7129999999997</v>
      </c>
      <c r="AF65" s="34">
        <f t="shared" si="29"/>
        <v>1587.7650000000001</v>
      </c>
      <c r="AG65" s="34">
        <f t="shared" si="30"/>
        <v>10116.045</v>
      </c>
      <c r="AI65" t="s">
        <v>366</v>
      </c>
      <c r="AJ65" s="145"/>
      <c r="AK65" s="111" t="s">
        <v>19</v>
      </c>
      <c r="AL65" s="112"/>
      <c r="AM65" s="495"/>
      <c r="AN65" s="41" t="s">
        <v>297</v>
      </c>
      <c r="AO65" s="159">
        <f t="shared" si="31"/>
        <v>4540.0710691823897</v>
      </c>
      <c r="AP65" s="159">
        <f t="shared" si="32"/>
        <v>933.97941176470601</v>
      </c>
      <c r="AQ65" s="159">
        <f t="shared" si="33"/>
        <v>337.20150000000001</v>
      </c>
      <c r="AT65" t="s">
        <v>379</v>
      </c>
      <c r="AU65" t="s">
        <v>383</v>
      </c>
      <c r="AV65" s="75"/>
    </row>
    <row r="66" spans="1:48" ht="16.5" customHeight="1">
      <c r="A66" s="145"/>
      <c r="B66" s="112"/>
      <c r="C66" s="112"/>
      <c r="D66" s="111" t="s">
        <v>323</v>
      </c>
      <c r="E66" s="41" t="s">
        <v>297</v>
      </c>
      <c r="F66" s="149">
        <f t="shared" ref="F66:F74" si="37">F28*P$22</f>
        <v>468.05</v>
      </c>
      <c r="G66" s="149">
        <f t="shared" ref="G66:I66" si="38">G28*Q$22</f>
        <v>24.01</v>
      </c>
      <c r="H66" s="149">
        <f t="shared" si="38"/>
        <v>370.26599999999996</v>
      </c>
      <c r="I66" s="149">
        <f t="shared" si="38"/>
        <v>298.79300000000001</v>
      </c>
      <c r="J66" s="149">
        <f t="shared" ref="J66:J67" si="39">J28*T$22</f>
        <v>0</v>
      </c>
      <c r="K66" s="149">
        <f t="shared" ref="K66:K67" si="40">K28*U$22</f>
        <v>0</v>
      </c>
      <c r="L66" s="101">
        <f t="shared" ref="L66:L74" si="41">F28*P$23</f>
        <v>67.850000000000009</v>
      </c>
      <c r="M66" s="101">
        <f t="shared" ref="M66:M74" si="42">G28*Q$23</f>
        <v>8.2319999999999993</v>
      </c>
      <c r="N66" s="101">
        <f t="shared" ref="N66:N74" si="43">H28*R$23</f>
        <v>91.910000000000011</v>
      </c>
      <c r="O66" s="101">
        <f t="shared" ref="O66:O74" si="44">I28*S$23</f>
        <v>87.394000000000005</v>
      </c>
      <c r="P66" s="101">
        <f t="shared" ref="P66:Q66" si="45">J28*T$23</f>
        <v>0</v>
      </c>
      <c r="Q66" s="101">
        <f t="shared" si="45"/>
        <v>0</v>
      </c>
      <c r="R66" s="101">
        <f t="shared" ref="R66:R74" si="46">F28*P$24</f>
        <v>461.15000000000003</v>
      </c>
      <c r="S66" s="101">
        <f t="shared" ref="S66:S74" si="47">G28*Q$24</f>
        <v>134.113</v>
      </c>
      <c r="T66" s="101">
        <f t="shared" ref="T66:T74" si="48">H28*R$24</f>
        <v>535.70399999999995</v>
      </c>
      <c r="U66" s="101">
        <f t="shared" ref="U66:U74" si="49">I28*S$24</f>
        <v>496.02</v>
      </c>
      <c r="V66" s="101">
        <f t="shared" ref="V66:W66" si="50">J28*T$24</f>
        <v>0</v>
      </c>
      <c r="W66" s="150">
        <f t="shared" si="50"/>
        <v>0</v>
      </c>
      <c r="Z66" s="145"/>
      <c r="AA66" s="112"/>
      <c r="AB66" s="112"/>
      <c r="AC66" s="111" t="s">
        <v>323</v>
      </c>
      <c r="AD66" s="41" t="s">
        <v>297</v>
      </c>
      <c r="AE66" s="34">
        <f t="shared" si="28"/>
        <v>1161.1190000000001</v>
      </c>
      <c r="AF66" s="34">
        <f t="shared" si="29"/>
        <v>255.38600000000002</v>
      </c>
      <c r="AG66" s="34">
        <f t="shared" si="30"/>
        <v>1626.9870000000001</v>
      </c>
      <c r="AI66" t="s">
        <v>367</v>
      </c>
      <c r="AJ66" s="145"/>
      <c r="AK66" s="112"/>
      <c r="AL66" s="112"/>
      <c r="AM66" s="111" t="s">
        <v>323</v>
      </c>
      <c r="AN66" s="41" t="s">
        <v>297</v>
      </c>
      <c r="AO66" s="159">
        <f t="shared" si="31"/>
        <v>730.26352201257862</v>
      </c>
      <c r="AP66" s="159">
        <f t="shared" si="32"/>
        <v>150.22705882352943</v>
      </c>
      <c r="AQ66" s="159">
        <f t="shared" si="33"/>
        <v>54.232900000000001</v>
      </c>
      <c r="AT66" t="s">
        <v>384</v>
      </c>
      <c r="AU66" t="s">
        <v>385</v>
      </c>
      <c r="AV66" s="75"/>
    </row>
    <row r="67" spans="1:48">
      <c r="A67" s="145"/>
      <c r="B67" s="112"/>
      <c r="C67" s="113"/>
      <c r="D67" s="113"/>
      <c r="E67" s="41" t="s">
        <v>299</v>
      </c>
      <c r="F67" s="149">
        <f t="shared" si="37"/>
        <v>818.88400000000001</v>
      </c>
      <c r="G67" s="149">
        <f t="shared" ref="G67" si="51">G29*Q$22</f>
        <v>42.070000000000007</v>
      </c>
      <c r="H67" s="149">
        <f t="shared" ref="H67" si="52">H29*R$22</f>
        <v>648.03599999999994</v>
      </c>
      <c r="I67" s="149">
        <f t="shared" ref="I67" si="53">I29*S$22</f>
        <v>522.69799999999998</v>
      </c>
      <c r="J67" s="149">
        <f t="shared" si="39"/>
        <v>0</v>
      </c>
      <c r="K67" s="149">
        <f t="shared" si="40"/>
        <v>0</v>
      </c>
      <c r="L67" s="101">
        <f t="shared" si="41"/>
        <v>118.70800000000001</v>
      </c>
      <c r="M67" s="101">
        <f t="shared" si="42"/>
        <v>14.423999999999999</v>
      </c>
      <c r="N67" s="101">
        <f t="shared" si="43"/>
        <v>160.86000000000001</v>
      </c>
      <c r="O67" s="101">
        <f t="shared" si="44"/>
        <v>152.88400000000001</v>
      </c>
      <c r="P67" s="101">
        <f t="shared" ref="P67:Q67" si="54">J29*T$23</f>
        <v>0</v>
      </c>
      <c r="Q67" s="101">
        <f t="shared" si="54"/>
        <v>0</v>
      </c>
      <c r="R67" s="101">
        <f t="shared" si="46"/>
        <v>806.81200000000001</v>
      </c>
      <c r="S67" s="101">
        <f t="shared" si="47"/>
        <v>234.99100000000001</v>
      </c>
      <c r="T67" s="101">
        <f t="shared" si="48"/>
        <v>937.58399999999995</v>
      </c>
      <c r="U67" s="101">
        <f t="shared" si="49"/>
        <v>867.71999999999991</v>
      </c>
      <c r="V67" s="101">
        <f t="shared" ref="V67:W67" si="55">J29*T$24</f>
        <v>0</v>
      </c>
      <c r="W67" s="150">
        <f t="shared" si="55"/>
        <v>0</v>
      </c>
      <c r="Z67" s="145"/>
      <c r="AA67" s="112"/>
      <c r="AB67" s="113"/>
      <c r="AC67" s="113"/>
      <c r="AD67" s="41" t="s">
        <v>299</v>
      </c>
      <c r="AE67" s="34">
        <f t="shared" si="28"/>
        <v>2031.6880000000001</v>
      </c>
      <c r="AF67" s="34">
        <f t="shared" si="29"/>
        <v>446.87600000000003</v>
      </c>
      <c r="AG67" s="34">
        <f t="shared" si="30"/>
        <v>2847.107</v>
      </c>
      <c r="AJ67" s="145"/>
      <c r="AK67" s="112"/>
      <c r="AL67" s="113"/>
      <c r="AM67" s="113"/>
      <c r="AN67" s="41" t="s">
        <v>299</v>
      </c>
      <c r="AO67" s="159">
        <f t="shared" si="31"/>
        <v>1277.7911949685536</v>
      </c>
      <c r="AP67" s="159">
        <f t="shared" si="32"/>
        <v>262.86823529411765</v>
      </c>
      <c r="AQ67" s="159">
        <f t="shared" si="33"/>
        <v>94.903566666666663</v>
      </c>
      <c r="AT67" t="s">
        <v>384</v>
      </c>
      <c r="AU67" t="s">
        <v>103</v>
      </c>
      <c r="AV67" s="75"/>
    </row>
    <row r="68" spans="1:48">
      <c r="A68" s="145"/>
      <c r="B68" s="113"/>
      <c r="C68" s="490" t="s">
        <v>13</v>
      </c>
      <c r="D68" s="491"/>
      <c r="E68" s="491"/>
      <c r="F68" s="149">
        <f t="shared" si="37"/>
        <v>0</v>
      </c>
      <c r="G68" s="149">
        <f t="shared" ref="G68" si="56">G30*Q$22</f>
        <v>0</v>
      </c>
      <c r="H68" s="149">
        <f t="shared" ref="H68" si="57">H30*R$22</f>
        <v>0</v>
      </c>
      <c r="I68" s="149">
        <f t="shared" ref="I68" si="58">I30*S$22</f>
        <v>0</v>
      </c>
      <c r="J68" s="149">
        <f t="shared" ref="J68" si="59">J30*T$22</f>
        <v>435.97400000000005</v>
      </c>
      <c r="K68" s="149">
        <f t="shared" ref="K68" si="60">K30*U$22</f>
        <v>5032.2450000000008</v>
      </c>
      <c r="L68" s="101">
        <f t="shared" si="41"/>
        <v>0</v>
      </c>
      <c r="M68" s="101">
        <f t="shared" si="42"/>
        <v>0</v>
      </c>
      <c r="N68" s="101">
        <f t="shared" si="43"/>
        <v>0</v>
      </c>
      <c r="O68" s="101">
        <f t="shared" si="44"/>
        <v>0</v>
      </c>
      <c r="P68" s="101">
        <f t="shared" ref="P68" si="61">J30*T$23</f>
        <v>31.140999999999998</v>
      </c>
      <c r="Q68" s="101">
        <f t="shared" ref="Q68" si="62">K30*U$23</f>
        <v>688.62300000000005</v>
      </c>
      <c r="R68" s="101">
        <f t="shared" si="46"/>
        <v>0</v>
      </c>
      <c r="S68" s="101">
        <f t="shared" si="47"/>
        <v>0</v>
      </c>
      <c r="T68" s="101">
        <f t="shared" si="48"/>
        <v>0</v>
      </c>
      <c r="U68" s="101">
        <f t="shared" si="49"/>
        <v>0</v>
      </c>
      <c r="V68" s="101">
        <f t="shared" ref="V68" si="63">J30*T$24</f>
        <v>906.36699999999985</v>
      </c>
      <c r="W68" s="150">
        <f t="shared" ref="W68" si="64">K30*U$24</f>
        <v>3478.4290000000001</v>
      </c>
      <c r="Z68" s="145"/>
      <c r="AA68" s="113"/>
      <c r="AB68" s="490" t="s">
        <v>13</v>
      </c>
      <c r="AC68" s="491"/>
      <c r="AD68" s="491"/>
      <c r="AE68" s="34">
        <f t="shared" si="28"/>
        <v>5468.219000000001</v>
      </c>
      <c r="AF68" s="34">
        <f t="shared" si="29"/>
        <v>719.76400000000001</v>
      </c>
      <c r="AG68" s="34">
        <f t="shared" si="30"/>
        <v>4384.7960000000003</v>
      </c>
      <c r="AI68" t="s">
        <v>387</v>
      </c>
      <c r="AJ68" s="145"/>
      <c r="AK68" s="113"/>
      <c r="AL68" s="490" t="s">
        <v>13</v>
      </c>
      <c r="AM68" s="491"/>
      <c r="AN68" s="491"/>
      <c r="AO68" s="159">
        <f t="shared" si="31"/>
        <v>3439.1314465408809</v>
      </c>
      <c r="AP68" s="159">
        <f t="shared" si="32"/>
        <v>423.39058823529416</v>
      </c>
      <c r="AQ68" s="159">
        <f t="shared" si="33"/>
        <v>146.15986666666669</v>
      </c>
      <c r="AT68" t="s">
        <v>384</v>
      </c>
      <c r="AU68" t="s">
        <v>104</v>
      </c>
      <c r="AV68" s="75"/>
    </row>
    <row r="69" spans="1:48">
      <c r="A69" s="145"/>
      <c r="B69" s="110" t="s">
        <v>300</v>
      </c>
      <c r="C69" s="490" t="s">
        <v>301</v>
      </c>
      <c r="D69" s="491"/>
      <c r="E69" s="491"/>
      <c r="F69" s="149">
        <f t="shared" si="37"/>
        <v>0</v>
      </c>
      <c r="G69" s="149">
        <f t="shared" ref="G69:G74" si="65">G31*Q$22</f>
        <v>0</v>
      </c>
      <c r="H69" s="149">
        <f t="shared" ref="H69:H74" si="66">H31*R$22</f>
        <v>0</v>
      </c>
      <c r="I69" s="149">
        <f t="shared" ref="I69:I74" si="67">I31*S$22</f>
        <v>0</v>
      </c>
      <c r="J69" s="149">
        <f t="shared" ref="J69:J74" si="68">J31*T$22</f>
        <v>7656.2780000000002</v>
      </c>
      <c r="K69" s="149">
        <f t="shared" ref="K69:K74" si="69">K31*U$22</f>
        <v>31583.415000000005</v>
      </c>
      <c r="L69" s="101">
        <f t="shared" si="41"/>
        <v>0</v>
      </c>
      <c r="M69" s="101">
        <f t="shared" si="42"/>
        <v>0</v>
      </c>
      <c r="N69" s="101">
        <f t="shared" si="43"/>
        <v>0</v>
      </c>
      <c r="O69" s="101">
        <f t="shared" si="44"/>
        <v>0</v>
      </c>
      <c r="P69" s="101">
        <f t="shared" ref="P69:P74" si="70">J31*T$23</f>
        <v>546.87699999999995</v>
      </c>
      <c r="Q69" s="101">
        <f t="shared" ref="Q69:Q74" si="71">K31*U$23</f>
        <v>4321.9409999999998</v>
      </c>
      <c r="R69" s="101">
        <f t="shared" si="46"/>
        <v>0</v>
      </c>
      <c r="S69" s="101">
        <f t="shared" si="47"/>
        <v>0</v>
      </c>
      <c r="T69" s="101">
        <f t="shared" si="48"/>
        <v>0</v>
      </c>
      <c r="U69" s="101">
        <f t="shared" si="49"/>
        <v>0</v>
      </c>
      <c r="V69" s="101">
        <f t="shared" ref="V69:V74" si="72">J31*T$24</f>
        <v>15916.998999999998</v>
      </c>
      <c r="W69" s="150">
        <f t="shared" ref="W69:W74" si="73">K31*U$24</f>
        <v>21831.343000000001</v>
      </c>
      <c r="Z69" s="145"/>
      <c r="AA69" s="110" t="s">
        <v>300</v>
      </c>
      <c r="AB69" s="490" t="s">
        <v>301</v>
      </c>
      <c r="AC69" s="491"/>
      <c r="AD69" s="491"/>
      <c r="AE69" s="34">
        <f t="shared" si="28"/>
        <v>39239.693000000007</v>
      </c>
      <c r="AF69" s="34">
        <f t="shared" si="29"/>
        <v>4868.8179999999993</v>
      </c>
      <c r="AG69" s="34">
        <f t="shared" si="30"/>
        <v>37748.341999999997</v>
      </c>
      <c r="AI69" t="s">
        <v>368</v>
      </c>
      <c r="AJ69" s="145"/>
      <c r="AK69" s="110" t="s">
        <v>300</v>
      </c>
      <c r="AL69" s="490" t="s">
        <v>301</v>
      </c>
      <c r="AM69" s="491"/>
      <c r="AN69" s="491"/>
      <c r="AO69" s="159">
        <f t="shared" si="31"/>
        <v>24679.052201257866</v>
      </c>
      <c r="AP69" s="159">
        <f t="shared" si="32"/>
        <v>2864.0105882352937</v>
      </c>
      <c r="AQ69" s="159">
        <f t="shared" si="33"/>
        <v>1258.2780666666665</v>
      </c>
      <c r="AT69" t="s">
        <v>384</v>
      </c>
      <c r="AU69" t="s">
        <v>117</v>
      </c>
      <c r="AV69" s="75"/>
    </row>
    <row r="70" spans="1:48" ht="16.5" customHeight="1">
      <c r="A70" s="145"/>
      <c r="B70" s="111" t="s">
        <v>20</v>
      </c>
      <c r="C70" s="490" t="s">
        <v>302</v>
      </c>
      <c r="D70" s="491"/>
      <c r="E70" s="491"/>
      <c r="F70" s="149">
        <f t="shared" si="37"/>
        <v>0</v>
      </c>
      <c r="G70" s="149">
        <f t="shared" si="65"/>
        <v>0</v>
      </c>
      <c r="H70" s="149">
        <f t="shared" si="66"/>
        <v>0</v>
      </c>
      <c r="I70" s="149">
        <f t="shared" si="67"/>
        <v>0</v>
      </c>
      <c r="J70" s="149">
        <f t="shared" si="68"/>
        <v>91.238</v>
      </c>
      <c r="K70" s="149">
        <f t="shared" si="69"/>
        <v>103.45500000000001</v>
      </c>
      <c r="L70" s="101">
        <f t="shared" si="41"/>
        <v>0</v>
      </c>
      <c r="M70" s="101">
        <f t="shared" si="42"/>
        <v>0</v>
      </c>
      <c r="N70" s="101">
        <f t="shared" si="43"/>
        <v>0</v>
      </c>
      <c r="O70" s="101">
        <f t="shared" si="44"/>
        <v>0</v>
      </c>
      <c r="P70" s="101">
        <f t="shared" si="70"/>
        <v>6.5169999999999995</v>
      </c>
      <c r="Q70" s="101">
        <f t="shared" si="71"/>
        <v>14.157</v>
      </c>
      <c r="R70" s="101">
        <f t="shared" si="46"/>
        <v>0</v>
      </c>
      <c r="S70" s="101">
        <f t="shared" si="47"/>
        <v>0</v>
      </c>
      <c r="T70" s="101">
        <f t="shared" si="48"/>
        <v>0</v>
      </c>
      <c r="U70" s="101">
        <f t="shared" si="49"/>
        <v>0</v>
      </c>
      <c r="V70" s="101">
        <f t="shared" si="72"/>
        <v>189.67899999999997</v>
      </c>
      <c r="W70" s="150">
        <f t="shared" si="73"/>
        <v>71.51100000000001</v>
      </c>
      <c r="Z70" s="145"/>
      <c r="AA70" s="111" t="s">
        <v>20</v>
      </c>
      <c r="AB70" s="490" t="s">
        <v>302</v>
      </c>
      <c r="AC70" s="491"/>
      <c r="AD70" s="491"/>
      <c r="AE70" s="34">
        <f t="shared" si="28"/>
        <v>194.69300000000001</v>
      </c>
      <c r="AF70" s="34">
        <f t="shared" si="29"/>
        <v>20.673999999999999</v>
      </c>
      <c r="AG70" s="34">
        <f t="shared" si="30"/>
        <v>261.19</v>
      </c>
      <c r="AI70" t="s">
        <v>369</v>
      </c>
      <c r="AJ70" s="145"/>
      <c r="AK70" s="111" t="s">
        <v>20</v>
      </c>
      <c r="AL70" s="490" t="s">
        <v>302</v>
      </c>
      <c r="AM70" s="491"/>
      <c r="AN70" s="491"/>
      <c r="AO70" s="159">
        <f t="shared" si="31"/>
        <v>122.44842767295597</v>
      </c>
      <c r="AP70" s="159">
        <f t="shared" si="32"/>
        <v>12.161176470588236</v>
      </c>
      <c r="AQ70" s="159">
        <f t="shared" si="33"/>
        <v>8.7063333333333333</v>
      </c>
      <c r="AT70" t="s">
        <v>384</v>
      </c>
      <c r="AU70" t="s">
        <v>118</v>
      </c>
      <c r="AV70" s="75"/>
    </row>
    <row r="71" spans="1:48" ht="17.25" customHeight="1">
      <c r="A71" s="145"/>
      <c r="B71" s="111" t="s">
        <v>19</v>
      </c>
      <c r="C71" s="490" t="s">
        <v>303</v>
      </c>
      <c r="D71" s="491"/>
      <c r="E71" s="491"/>
      <c r="F71" s="149">
        <f t="shared" si="37"/>
        <v>0</v>
      </c>
      <c r="G71" s="149">
        <f t="shared" si="65"/>
        <v>0</v>
      </c>
      <c r="H71" s="149">
        <f t="shared" si="66"/>
        <v>0</v>
      </c>
      <c r="I71" s="149">
        <f t="shared" si="67"/>
        <v>0</v>
      </c>
      <c r="J71" s="149">
        <f t="shared" si="68"/>
        <v>161.46200000000002</v>
      </c>
      <c r="K71" s="149">
        <f t="shared" si="69"/>
        <v>2182.8150000000001</v>
      </c>
      <c r="L71" s="101">
        <f t="shared" si="41"/>
        <v>0</v>
      </c>
      <c r="M71" s="101">
        <f t="shared" si="42"/>
        <v>0</v>
      </c>
      <c r="N71" s="101">
        <f t="shared" si="43"/>
        <v>0</v>
      </c>
      <c r="O71" s="101">
        <f t="shared" si="44"/>
        <v>0</v>
      </c>
      <c r="P71" s="101">
        <f t="shared" si="70"/>
        <v>11.532999999999999</v>
      </c>
      <c r="Q71" s="101">
        <f t="shared" si="71"/>
        <v>298.70100000000002</v>
      </c>
      <c r="R71" s="101">
        <f t="shared" si="46"/>
        <v>0</v>
      </c>
      <c r="S71" s="101">
        <f t="shared" si="47"/>
        <v>0</v>
      </c>
      <c r="T71" s="101">
        <f t="shared" si="48"/>
        <v>0</v>
      </c>
      <c r="U71" s="101">
        <f t="shared" si="49"/>
        <v>0</v>
      </c>
      <c r="V71" s="101">
        <f t="shared" si="72"/>
        <v>335.67099999999994</v>
      </c>
      <c r="W71" s="150">
        <f t="shared" si="73"/>
        <v>1508.8230000000001</v>
      </c>
      <c r="Z71" s="145"/>
      <c r="AA71" s="111" t="s">
        <v>19</v>
      </c>
      <c r="AB71" s="490" t="s">
        <v>303</v>
      </c>
      <c r="AC71" s="491"/>
      <c r="AD71" s="491"/>
      <c r="AE71" s="34">
        <f t="shared" si="28"/>
        <v>2344.277</v>
      </c>
      <c r="AF71" s="34">
        <f t="shared" si="29"/>
        <v>310.23400000000004</v>
      </c>
      <c r="AG71" s="34">
        <f t="shared" si="30"/>
        <v>1844.4940000000001</v>
      </c>
      <c r="AJ71" s="145"/>
      <c r="AK71" s="111" t="s">
        <v>19</v>
      </c>
      <c r="AL71" s="490" t="s">
        <v>303</v>
      </c>
      <c r="AM71" s="491"/>
      <c r="AN71" s="491"/>
      <c r="AO71" s="159">
        <f t="shared" si="31"/>
        <v>1474.3880503144653</v>
      </c>
      <c r="AP71" s="159">
        <f t="shared" si="32"/>
        <v>182.49058823529415</v>
      </c>
      <c r="AQ71" s="159">
        <f t="shared" si="33"/>
        <v>61.483133333333335</v>
      </c>
      <c r="AT71" t="s">
        <v>386</v>
      </c>
      <c r="AU71" t="s">
        <v>388</v>
      </c>
      <c r="AV71" s="75"/>
    </row>
    <row r="72" spans="1:48">
      <c r="A72" s="145"/>
      <c r="B72" s="112"/>
      <c r="C72" s="490" t="s">
        <v>304</v>
      </c>
      <c r="D72" s="491"/>
      <c r="E72" s="491"/>
      <c r="F72" s="149">
        <f t="shared" si="37"/>
        <v>0</v>
      </c>
      <c r="G72" s="149">
        <f t="shared" si="65"/>
        <v>0</v>
      </c>
      <c r="H72" s="149">
        <f t="shared" si="66"/>
        <v>0</v>
      </c>
      <c r="I72" s="149">
        <f t="shared" si="67"/>
        <v>0</v>
      </c>
      <c r="J72" s="149">
        <f t="shared" si="68"/>
        <v>14.896000000000001</v>
      </c>
      <c r="K72" s="149">
        <f t="shared" si="69"/>
        <v>0</v>
      </c>
      <c r="L72" s="101">
        <f t="shared" si="41"/>
        <v>0</v>
      </c>
      <c r="M72" s="101">
        <f t="shared" si="42"/>
        <v>0</v>
      </c>
      <c r="N72" s="101">
        <f t="shared" si="43"/>
        <v>0</v>
      </c>
      <c r="O72" s="101">
        <f t="shared" si="44"/>
        <v>0</v>
      </c>
      <c r="P72" s="101">
        <f t="shared" si="70"/>
        <v>1.0640000000000001</v>
      </c>
      <c r="Q72" s="101">
        <f t="shared" si="71"/>
        <v>0</v>
      </c>
      <c r="R72" s="101">
        <f t="shared" si="46"/>
        <v>0</v>
      </c>
      <c r="S72" s="101">
        <f t="shared" si="47"/>
        <v>0</v>
      </c>
      <c r="T72" s="101">
        <f t="shared" si="48"/>
        <v>0</v>
      </c>
      <c r="U72" s="101">
        <f t="shared" si="49"/>
        <v>0</v>
      </c>
      <c r="V72" s="101">
        <f t="shared" si="72"/>
        <v>30.967999999999996</v>
      </c>
      <c r="W72" s="150">
        <f t="shared" si="73"/>
        <v>0</v>
      </c>
      <c r="Z72" s="145"/>
      <c r="AA72" s="112"/>
      <c r="AB72" s="490" t="s">
        <v>304</v>
      </c>
      <c r="AC72" s="491"/>
      <c r="AD72" s="491"/>
      <c r="AE72" s="34">
        <f t="shared" si="28"/>
        <v>14.896000000000001</v>
      </c>
      <c r="AF72" s="34">
        <f t="shared" si="29"/>
        <v>1.0640000000000001</v>
      </c>
      <c r="AG72" s="34">
        <f t="shared" si="30"/>
        <v>30.967999999999996</v>
      </c>
      <c r="AJ72" s="145"/>
      <c r="AK72" s="112"/>
      <c r="AL72" s="490" t="s">
        <v>304</v>
      </c>
      <c r="AM72" s="491"/>
      <c r="AN72" s="491"/>
      <c r="AO72" s="159">
        <f t="shared" si="31"/>
        <v>9.3685534591194966</v>
      </c>
      <c r="AP72" s="159">
        <f t="shared" si="32"/>
        <v>0.62588235294117656</v>
      </c>
      <c r="AQ72" s="159">
        <f t="shared" si="33"/>
        <v>1.0322666666666664</v>
      </c>
      <c r="AT72" t="s">
        <v>389</v>
      </c>
      <c r="AU72" t="s">
        <v>390</v>
      </c>
      <c r="AV72" s="75"/>
    </row>
    <row r="73" spans="1:48">
      <c r="A73" s="145"/>
      <c r="B73" s="112"/>
      <c r="C73" s="490" t="s">
        <v>305</v>
      </c>
      <c r="D73" s="491"/>
      <c r="E73" s="491"/>
      <c r="F73" s="149">
        <f t="shared" si="37"/>
        <v>0</v>
      </c>
      <c r="G73" s="149">
        <f t="shared" si="65"/>
        <v>0</v>
      </c>
      <c r="H73" s="149">
        <f t="shared" si="66"/>
        <v>0</v>
      </c>
      <c r="I73" s="149">
        <f t="shared" si="67"/>
        <v>0</v>
      </c>
      <c r="J73" s="149">
        <f t="shared" si="68"/>
        <v>46.018000000000001</v>
      </c>
      <c r="K73" s="149">
        <f t="shared" si="69"/>
        <v>637.83000000000004</v>
      </c>
      <c r="L73" s="101">
        <f t="shared" si="41"/>
        <v>0</v>
      </c>
      <c r="M73" s="101">
        <f t="shared" si="42"/>
        <v>0</v>
      </c>
      <c r="N73" s="101">
        <f t="shared" si="43"/>
        <v>0</v>
      </c>
      <c r="O73" s="101">
        <f t="shared" si="44"/>
        <v>0</v>
      </c>
      <c r="P73" s="101">
        <f t="shared" si="70"/>
        <v>3.2869999999999999</v>
      </c>
      <c r="Q73" s="101">
        <f t="shared" si="71"/>
        <v>87.281999999999996</v>
      </c>
      <c r="R73" s="101">
        <f t="shared" si="46"/>
        <v>0</v>
      </c>
      <c r="S73" s="101">
        <f t="shared" si="47"/>
        <v>0</v>
      </c>
      <c r="T73" s="101">
        <f t="shared" si="48"/>
        <v>0</v>
      </c>
      <c r="U73" s="101">
        <f t="shared" si="49"/>
        <v>0</v>
      </c>
      <c r="V73" s="101">
        <f t="shared" si="72"/>
        <v>95.668999999999983</v>
      </c>
      <c r="W73" s="150">
        <f t="shared" si="73"/>
        <v>440.88600000000002</v>
      </c>
      <c r="Z73" s="145"/>
      <c r="AA73" s="112"/>
      <c r="AB73" s="490" t="s">
        <v>305</v>
      </c>
      <c r="AC73" s="491"/>
      <c r="AD73" s="491"/>
      <c r="AE73" s="34">
        <f t="shared" si="28"/>
        <v>683.84800000000007</v>
      </c>
      <c r="AF73" s="34">
        <f t="shared" si="29"/>
        <v>90.569000000000003</v>
      </c>
      <c r="AG73" s="34">
        <f t="shared" si="30"/>
        <v>536.55500000000006</v>
      </c>
      <c r="AJ73" s="145"/>
      <c r="AK73" s="112"/>
      <c r="AL73" s="490" t="s">
        <v>305</v>
      </c>
      <c r="AM73" s="491"/>
      <c r="AN73" s="491"/>
      <c r="AO73" s="159">
        <f t="shared" si="31"/>
        <v>430.09308176100632</v>
      </c>
      <c r="AP73" s="159">
        <f t="shared" si="32"/>
        <v>53.275882352941181</v>
      </c>
      <c r="AQ73" s="159">
        <f t="shared" si="33"/>
        <v>17.88516666666667</v>
      </c>
      <c r="AT73" t="s">
        <v>391</v>
      </c>
      <c r="AU73" t="s">
        <v>392</v>
      </c>
      <c r="AV73" s="75"/>
    </row>
    <row r="74" spans="1:48" ht="17.5" thickBot="1">
      <c r="A74" s="146"/>
      <c r="B74" s="147"/>
      <c r="C74" s="492" t="s">
        <v>47</v>
      </c>
      <c r="D74" s="493"/>
      <c r="E74" s="493"/>
      <c r="F74" s="151">
        <f t="shared" si="37"/>
        <v>0</v>
      </c>
      <c r="G74" s="151">
        <f t="shared" si="65"/>
        <v>0</v>
      </c>
      <c r="H74" s="151">
        <f t="shared" si="66"/>
        <v>0</v>
      </c>
      <c r="I74" s="151">
        <f t="shared" si="67"/>
        <v>0</v>
      </c>
      <c r="J74" s="151">
        <f t="shared" si="68"/>
        <v>3987.0740000000001</v>
      </c>
      <c r="K74" s="151">
        <f t="shared" si="69"/>
        <v>13306.935000000001</v>
      </c>
      <c r="L74" s="152">
        <f t="shared" si="41"/>
        <v>0</v>
      </c>
      <c r="M74" s="152">
        <f t="shared" si="42"/>
        <v>0</v>
      </c>
      <c r="N74" s="152">
        <f t="shared" si="43"/>
        <v>0</v>
      </c>
      <c r="O74" s="152">
        <f t="shared" si="44"/>
        <v>0</v>
      </c>
      <c r="P74" s="152">
        <f t="shared" si="70"/>
        <v>284.791</v>
      </c>
      <c r="Q74" s="152">
        <f t="shared" si="71"/>
        <v>1820.9490000000001</v>
      </c>
      <c r="R74" s="152">
        <f t="shared" si="46"/>
        <v>0</v>
      </c>
      <c r="S74" s="152">
        <f t="shared" si="47"/>
        <v>0</v>
      </c>
      <c r="T74" s="152">
        <f t="shared" si="48"/>
        <v>0</v>
      </c>
      <c r="U74" s="152">
        <f t="shared" si="49"/>
        <v>0</v>
      </c>
      <c r="V74" s="152">
        <f t="shared" si="72"/>
        <v>8288.9169999999995</v>
      </c>
      <c r="W74" s="153">
        <f t="shared" si="73"/>
        <v>9198.1270000000004</v>
      </c>
      <c r="Z74" s="146"/>
      <c r="AA74" s="147"/>
      <c r="AB74" s="492" t="s">
        <v>47</v>
      </c>
      <c r="AC74" s="493"/>
      <c r="AD74" s="493"/>
      <c r="AE74" s="34">
        <f t="shared" si="28"/>
        <v>17294.009000000002</v>
      </c>
      <c r="AF74" s="34">
        <f t="shared" si="29"/>
        <v>2105.7400000000002</v>
      </c>
      <c r="AG74" s="34">
        <f t="shared" si="30"/>
        <v>17487.044000000002</v>
      </c>
      <c r="AJ74" s="146"/>
      <c r="AK74" s="147"/>
      <c r="AL74" s="492" t="s">
        <v>47</v>
      </c>
      <c r="AM74" s="493"/>
      <c r="AN74" s="493"/>
      <c r="AO74" s="159">
        <f t="shared" si="31"/>
        <v>10876.735220125787</v>
      </c>
      <c r="AP74" s="159">
        <f t="shared" si="32"/>
        <v>1238.6705882352942</v>
      </c>
      <c r="AQ74" s="159">
        <f t="shared" si="33"/>
        <v>582.90146666666669</v>
      </c>
      <c r="AT74" t="s">
        <v>391</v>
      </c>
      <c r="AU74" t="s">
        <v>393</v>
      </c>
      <c r="AV74" s="75"/>
    </row>
    <row r="75" spans="1:48">
      <c r="AT75" t="s">
        <v>394</v>
      </c>
      <c r="AU75" t="s">
        <v>395</v>
      </c>
      <c r="AV75" s="75"/>
    </row>
    <row r="76" spans="1:48" ht="23">
      <c r="A76" s="154" t="s">
        <v>331</v>
      </c>
      <c r="Z76" s="154" t="s">
        <v>337</v>
      </c>
      <c r="AJ76" s="102" t="s">
        <v>339</v>
      </c>
      <c r="AT76" t="s">
        <v>396</v>
      </c>
      <c r="AU76" t="s">
        <v>397</v>
      </c>
      <c r="AV76" s="75"/>
    </row>
    <row r="77" spans="1:48">
      <c r="A77" s="32" t="s">
        <v>308</v>
      </c>
      <c r="Z77" s="32" t="s">
        <v>308</v>
      </c>
      <c r="AJ77" s="32" t="s">
        <v>308</v>
      </c>
      <c r="AT77" t="s">
        <v>396</v>
      </c>
      <c r="AU77" t="s">
        <v>398</v>
      </c>
      <c r="AV77" s="75"/>
    </row>
    <row r="78" spans="1:48" ht="21" thickBot="1">
      <c r="F78" s="655" t="s">
        <v>319</v>
      </c>
      <c r="G78" s="655"/>
      <c r="H78" s="655"/>
      <c r="I78" s="655"/>
      <c r="J78" s="655"/>
      <c r="K78" s="655"/>
      <c r="L78" s="655" t="s">
        <v>320</v>
      </c>
      <c r="M78" s="655"/>
      <c r="N78" s="655"/>
      <c r="O78" s="655"/>
      <c r="P78" s="655"/>
      <c r="Q78" s="655"/>
      <c r="R78" s="655" t="s">
        <v>321</v>
      </c>
      <c r="S78" s="655"/>
      <c r="T78" s="655"/>
      <c r="U78" s="655"/>
      <c r="V78" s="655"/>
      <c r="W78" s="655"/>
      <c r="AE78" s="32" t="s">
        <v>334</v>
      </c>
      <c r="AF78" s="32" t="s">
        <v>335</v>
      </c>
      <c r="AG78" s="32" t="s">
        <v>321</v>
      </c>
      <c r="AO78" s="32" t="s">
        <v>334</v>
      </c>
      <c r="AP78" s="32" t="s">
        <v>335</v>
      </c>
      <c r="AQ78" s="32" t="s">
        <v>321</v>
      </c>
    </row>
    <row r="79" spans="1:48">
      <c r="A79" s="484" t="s">
        <v>307</v>
      </c>
      <c r="B79" s="485"/>
      <c r="C79" s="485"/>
      <c r="D79" s="485"/>
      <c r="E79" s="486"/>
      <c r="F79" s="142" t="s">
        <v>165</v>
      </c>
      <c r="G79" s="143"/>
      <c r="H79" s="143"/>
      <c r="I79" s="485" t="s">
        <v>328</v>
      </c>
      <c r="J79" s="485" t="s">
        <v>329</v>
      </c>
      <c r="K79" s="485" t="s">
        <v>330</v>
      </c>
      <c r="L79" s="143"/>
      <c r="M79" s="143"/>
      <c r="N79" s="143"/>
      <c r="O79" s="485" t="s">
        <v>328</v>
      </c>
      <c r="P79" s="485" t="s">
        <v>329</v>
      </c>
      <c r="Q79" s="485" t="s">
        <v>330</v>
      </c>
      <c r="R79" s="143"/>
      <c r="S79" s="143"/>
      <c r="T79" s="144"/>
      <c r="U79" s="485" t="s">
        <v>328</v>
      </c>
      <c r="V79" s="485" t="s">
        <v>329</v>
      </c>
      <c r="W79" s="657" t="s">
        <v>330</v>
      </c>
      <c r="Z79" s="484" t="s">
        <v>307</v>
      </c>
      <c r="AA79" s="485"/>
      <c r="AB79" s="485"/>
      <c r="AC79" s="485"/>
      <c r="AD79" s="486"/>
      <c r="AJ79" s="484" t="s">
        <v>307</v>
      </c>
      <c r="AK79" s="485"/>
      <c r="AL79" s="485"/>
      <c r="AM79" s="485"/>
      <c r="AN79" s="486"/>
    </row>
    <row r="80" spans="1:48" ht="17.5" thickBot="1">
      <c r="A80" s="487"/>
      <c r="B80" s="488"/>
      <c r="C80" s="488"/>
      <c r="D80" s="488"/>
      <c r="E80" s="489"/>
      <c r="F80" s="148" t="s">
        <v>44</v>
      </c>
      <c r="G80" s="148" t="s">
        <v>45</v>
      </c>
      <c r="H80" s="148" t="s">
        <v>46</v>
      </c>
      <c r="I80" s="656"/>
      <c r="J80" s="656"/>
      <c r="K80" s="656"/>
      <c r="L80" s="148" t="s">
        <v>44</v>
      </c>
      <c r="M80" s="148" t="s">
        <v>45</v>
      </c>
      <c r="N80" s="148" t="s">
        <v>46</v>
      </c>
      <c r="O80" s="656"/>
      <c r="P80" s="656"/>
      <c r="Q80" s="656"/>
      <c r="R80" s="148" t="s">
        <v>44</v>
      </c>
      <c r="S80" s="148" t="s">
        <v>45</v>
      </c>
      <c r="T80" s="148" t="s">
        <v>46</v>
      </c>
      <c r="U80" s="656"/>
      <c r="V80" s="656"/>
      <c r="W80" s="658"/>
      <c r="Z80" s="487"/>
      <c r="AA80" s="488"/>
      <c r="AB80" s="488"/>
      <c r="AC80" s="488"/>
      <c r="AD80" s="489"/>
      <c r="AJ80" s="487"/>
      <c r="AK80" s="488"/>
      <c r="AL80" s="488"/>
      <c r="AM80" s="488"/>
      <c r="AN80" s="489"/>
    </row>
    <row r="81" spans="1:43" ht="17.5" thickTop="1">
      <c r="A81" s="145">
        <v>2027</v>
      </c>
      <c r="B81" s="110" t="s">
        <v>289</v>
      </c>
      <c r="C81" s="110"/>
      <c r="D81" s="490" t="s">
        <v>324</v>
      </c>
      <c r="E81" s="491"/>
      <c r="F81" s="149">
        <f>F39*P$22</f>
        <v>177.85900000000001</v>
      </c>
      <c r="G81" s="149">
        <f t="shared" ref="G81" si="74">G39*Q$22</f>
        <v>9.1000000000000014</v>
      </c>
      <c r="H81" s="149">
        <f t="shared" ref="H81" si="75">H39*R$22</f>
        <v>140.71799999999999</v>
      </c>
      <c r="I81" s="149">
        <f t="shared" ref="I81" si="76">I39*S$22</f>
        <v>111.32000000000001</v>
      </c>
      <c r="J81" s="149">
        <f t="shared" ref="J81" si="77">J39*T$22</f>
        <v>0</v>
      </c>
      <c r="K81" s="149">
        <f t="shared" ref="K81" si="78">K39*U$22</f>
        <v>0</v>
      </c>
      <c r="L81" s="149">
        <f>F39*P$23</f>
        <v>25.783000000000001</v>
      </c>
      <c r="M81" s="149">
        <f>G39*Q$23</f>
        <v>3.12</v>
      </c>
      <c r="N81" s="149">
        <f>H39*R$23</f>
        <v>34.930000000000007</v>
      </c>
      <c r="O81" s="149">
        <f>I39*S$23</f>
        <v>32.56</v>
      </c>
      <c r="P81" s="149">
        <f t="shared" ref="P81" si="79">J39*T$23</f>
        <v>0</v>
      </c>
      <c r="Q81" s="149">
        <f t="shared" ref="Q81" si="80">K39*U$23</f>
        <v>0</v>
      </c>
      <c r="R81" s="101">
        <f>F39*P$24</f>
        <v>175.23700000000002</v>
      </c>
      <c r="S81" s="101">
        <f>G39*Q$24</f>
        <v>50.83</v>
      </c>
      <c r="T81" s="101">
        <f>H39*R$24</f>
        <v>203.59199999999998</v>
      </c>
      <c r="U81" s="101">
        <f>I39*S$24</f>
        <v>184.79999999999998</v>
      </c>
      <c r="V81" s="101">
        <f t="shared" ref="V81" si="81">J39*T$24</f>
        <v>0</v>
      </c>
      <c r="W81" s="150">
        <f t="shared" ref="W81" si="82">K39*U$24</f>
        <v>0</v>
      </c>
      <c r="Z81" s="145">
        <v>2027</v>
      </c>
      <c r="AA81" s="110" t="s">
        <v>289</v>
      </c>
      <c r="AB81" s="110"/>
      <c r="AC81" s="490" t="s">
        <v>324</v>
      </c>
      <c r="AD81" s="491"/>
      <c r="AE81" s="34">
        <f>SUM(F81:K81)</f>
        <v>438.99700000000001</v>
      </c>
      <c r="AF81" s="34">
        <f t="shared" ref="AF81:AF92" si="83">SUM(L81:Q81)</f>
        <v>96.393000000000015</v>
      </c>
      <c r="AG81" s="34">
        <f t="shared" ref="AG81:AG92" si="84">SUM(R81:W81)</f>
        <v>614.45899999999995</v>
      </c>
      <c r="AJ81" s="145">
        <v>2027</v>
      </c>
      <c r="AK81" s="110" t="s">
        <v>289</v>
      </c>
      <c r="AL81" s="110"/>
      <c r="AM81" s="490" t="s">
        <v>324</v>
      </c>
      <c r="AN81" s="491"/>
      <c r="AO81" s="159">
        <f t="shared" ref="AO81:AO92" si="85">AE81/$P$31</f>
        <v>276.0987421383648</v>
      </c>
      <c r="AP81" s="159">
        <f t="shared" ref="AP81:AP92" si="86">AF81/$Q$31</f>
        <v>56.701764705882361</v>
      </c>
      <c r="AQ81" s="159">
        <f t="shared" ref="AQ81:AQ92" si="87">AG81/$R$31</f>
        <v>20.481966666666665</v>
      </c>
    </row>
    <row r="82" spans="1:43">
      <c r="A82" s="145"/>
      <c r="B82" s="111" t="s">
        <v>290</v>
      </c>
      <c r="C82" s="112"/>
      <c r="D82" s="494" t="s">
        <v>322</v>
      </c>
      <c r="E82" s="41" t="s">
        <v>296</v>
      </c>
      <c r="F82" s="149">
        <f>F43*P$22</f>
        <v>3870.9770000000003</v>
      </c>
      <c r="G82" s="149">
        <f t="shared" ref="G82:G83" si="88">G43*Q$22</f>
        <v>198.87000000000003</v>
      </c>
      <c r="H82" s="149">
        <f t="shared" ref="H82:H83" si="89">H43*R$22</f>
        <v>3063.3659999999995</v>
      </c>
      <c r="I82" s="149">
        <f t="shared" ref="I82:I83" si="90">I43*S$22</f>
        <v>3003.616</v>
      </c>
      <c r="J82" s="149">
        <f t="shared" ref="J82:J83" si="91">J43*T$22</f>
        <v>0</v>
      </c>
      <c r="K82" s="149">
        <f t="shared" ref="K82:K83" si="92">K43*U$22</f>
        <v>0</v>
      </c>
      <c r="L82" s="101">
        <f t="shared" ref="L82:O83" si="93">F43*P$23</f>
        <v>561.149</v>
      </c>
      <c r="M82" s="101">
        <f t="shared" si="93"/>
        <v>68.183999999999997</v>
      </c>
      <c r="N82" s="101">
        <f t="shared" si="93"/>
        <v>760.41000000000008</v>
      </c>
      <c r="O82" s="101">
        <f t="shared" si="93"/>
        <v>878.52800000000013</v>
      </c>
      <c r="P82" s="101">
        <f t="shared" ref="P82:P83" si="94">J43*T$23</f>
        <v>0</v>
      </c>
      <c r="Q82" s="101">
        <f t="shared" ref="Q82:Q83" si="95">K43*U$23</f>
        <v>0</v>
      </c>
      <c r="R82" s="101">
        <f t="shared" ref="R82:U83" si="96">F43*P$24</f>
        <v>3813.9110000000001</v>
      </c>
      <c r="S82" s="101">
        <f t="shared" si="96"/>
        <v>1110.8310000000001</v>
      </c>
      <c r="T82" s="101">
        <f t="shared" si="96"/>
        <v>4432.1039999999994</v>
      </c>
      <c r="U82" s="101">
        <f t="shared" si="96"/>
        <v>4986.24</v>
      </c>
      <c r="V82" s="101">
        <f t="shared" ref="V82:V83" si="97">J43*T$24</f>
        <v>0</v>
      </c>
      <c r="W82" s="150">
        <f t="shared" ref="W82:W83" si="98">K43*U$24</f>
        <v>0</v>
      </c>
      <c r="Z82" s="145"/>
      <c r="AA82" s="111" t="s">
        <v>290</v>
      </c>
      <c r="AB82" s="112"/>
      <c r="AC82" s="494" t="s">
        <v>322</v>
      </c>
      <c r="AD82" s="41" t="s">
        <v>296</v>
      </c>
      <c r="AE82" s="34">
        <f t="shared" ref="AE82:AE92" si="99">SUM(F82:K82)</f>
        <v>10136.829</v>
      </c>
      <c r="AF82" s="34">
        <f t="shared" si="83"/>
        <v>2268.2710000000002</v>
      </c>
      <c r="AG82" s="34">
        <f t="shared" si="84"/>
        <v>14343.085999999999</v>
      </c>
      <c r="AJ82" s="145"/>
      <c r="AK82" s="111" t="s">
        <v>290</v>
      </c>
      <c r="AL82" s="112"/>
      <c r="AM82" s="494" t="s">
        <v>322</v>
      </c>
      <c r="AN82" s="41" t="s">
        <v>296</v>
      </c>
      <c r="AO82" s="159">
        <f t="shared" si="85"/>
        <v>6375.3641509433955</v>
      </c>
      <c r="AP82" s="159">
        <f t="shared" si="86"/>
        <v>1334.2770588235296</v>
      </c>
      <c r="AQ82" s="159">
        <f t="shared" si="87"/>
        <v>478.10286666666667</v>
      </c>
    </row>
    <row r="83" spans="1:43" ht="29">
      <c r="A83" s="145"/>
      <c r="B83" s="111" t="s">
        <v>19</v>
      </c>
      <c r="C83" s="112"/>
      <c r="D83" s="495"/>
      <c r="E83" s="41" t="s">
        <v>297</v>
      </c>
      <c r="F83" s="149">
        <f>F44*P$22</f>
        <v>2909.643</v>
      </c>
      <c r="G83" s="149">
        <f t="shared" si="88"/>
        <v>149.52000000000001</v>
      </c>
      <c r="H83" s="149">
        <f t="shared" si="89"/>
        <v>2302.5299999999997</v>
      </c>
      <c r="I83" s="149">
        <f t="shared" si="90"/>
        <v>1822.6120000000001</v>
      </c>
      <c r="J83" s="149">
        <f t="shared" si="91"/>
        <v>0</v>
      </c>
      <c r="K83" s="149">
        <f t="shared" si="92"/>
        <v>0</v>
      </c>
      <c r="L83" s="101">
        <f t="shared" si="93"/>
        <v>421.79100000000005</v>
      </c>
      <c r="M83" s="101">
        <f t="shared" si="93"/>
        <v>51.264000000000003</v>
      </c>
      <c r="N83" s="101">
        <f t="shared" si="93"/>
        <v>571.55000000000007</v>
      </c>
      <c r="O83" s="101">
        <f t="shared" si="93"/>
        <v>533.09600000000012</v>
      </c>
      <c r="P83" s="101">
        <f t="shared" si="94"/>
        <v>0</v>
      </c>
      <c r="Q83" s="101">
        <f t="shared" si="95"/>
        <v>0</v>
      </c>
      <c r="R83" s="101">
        <f t="shared" si="96"/>
        <v>2866.7490000000003</v>
      </c>
      <c r="S83" s="101">
        <f t="shared" si="96"/>
        <v>835.17600000000004</v>
      </c>
      <c r="T83" s="101">
        <f t="shared" si="96"/>
        <v>3331.3199999999997</v>
      </c>
      <c r="U83" s="101">
        <f t="shared" si="96"/>
        <v>3025.68</v>
      </c>
      <c r="V83" s="101">
        <f t="shared" si="97"/>
        <v>0</v>
      </c>
      <c r="W83" s="150">
        <f t="shared" si="98"/>
        <v>0</v>
      </c>
      <c r="Z83" s="145"/>
      <c r="AA83" s="111" t="s">
        <v>19</v>
      </c>
      <c r="AB83" s="112"/>
      <c r="AC83" s="495"/>
      <c r="AD83" s="41" t="s">
        <v>297</v>
      </c>
      <c r="AE83" s="34">
        <f t="shared" si="99"/>
        <v>7184.3049999999994</v>
      </c>
      <c r="AF83" s="34">
        <f t="shared" si="83"/>
        <v>1577.701</v>
      </c>
      <c r="AG83" s="34">
        <f t="shared" si="84"/>
        <v>10058.924999999999</v>
      </c>
      <c r="AJ83" s="145"/>
      <c r="AK83" s="111" t="s">
        <v>19</v>
      </c>
      <c r="AL83" s="112"/>
      <c r="AM83" s="495"/>
      <c r="AN83" s="41" t="s">
        <v>297</v>
      </c>
      <c r="AO83" s="159">
        <f t="shared" si="85"/>
        <v>4518.4308176100621</v>
      </c>
      <c r="AP83" s="159">
        <f t="shared" si="86"/>
        <v>928.05941176470594</v>
      </c>
      <c r="AQ83" s="159">
        <f t="shared" si="87"/>
        <v>335.29749999999996</v>
      </c>
    </row>
    <row r="84" spans="1:43" ht="29">
      <c r="A84" s="145"/>
      <c r="B84" s="112"/>
      <c r="C84" s="112"/>
      <c r="D84" s="111" t="s">
        <v>323</v>
      </c>
      <c r="E84" s="41" t="s">
        <v>297</v>
      </c>
      <c r="F84" s="149">
        <f t="shared" ref="F84:F92" si="100">F46*P$22</f>
        <v>468.05</v>
      </c>
      <c r="G84" s="149">
        <f t="shared" ref="G84:G92" si="101">G46*Q$22</f>
        <v>24.01</v>
      </c>
      <c r="H84" s="149">
        <f t="shared" ref="H84:H92" si="102">H46*R$22</f>
        <v>370.26599999999996</v>
      </c>
      <c r="I84" s="149">
        <f t="shared" ref="I84:I92" si="103">I46*S$22</f>
        <v>293.22699999999998</v>
      </c>
      <c r="J84" s="149">
        <f t="shared" ref="J84:J92" si="104">J46*T$22</f>
        <v>0</v>
      </c>
      <c r="K84" s="149">
        <f t="shared" ref="K84:K92" si="105">K46*U$22</f>
        <v>0</v>
      </c>
      <c r="L84" s="101">
        <f t="shared" ref="L84:L92" si="106">F46*P$23</f>
        <v>67.850000000000009</v>
      </c>
      <c r="M84" s="101">
        <f t="shared" ref="M84:M92" si="107">G46*Q$23</f>
        <v>8.2319999999999993</v>
      </c>
      <c r="N84" s="101">
        <f t="shared" ref="N84:N92" si="108">H46*R$23</f>
        <v>91.910000000000011</v>
      </c>
      <c r="O84" s="101">
        <f t="shared" ref="O84:O92" si="109">I46*S$23</f>
        <v>85.766000000000005</v>
      </c>
      <c r="P84" s="101">
        <f t="shared" ref="P84:P92" si="110">J46*T$23</f>
        <v>0</v>
      </c>
      <c r="Q84" s="101">
        <f t="shared" ref="Q84:Q92" si="111">K46*U$23</f>
        <v>0</v>
      </c>
      <c r="R84" s="101">
        <f t="shared" ref="R84:R92" si="112">F46*P$24</f>
        <v>461.15000000000003</v>
      </c>
      <c r="S84" s="101">
        <f t="shared" ref="S84:S92" si="113">G46*Q$24</f>
        <v>134.113</v>
      </c>
      <c r="T84" s="101">
        <f t="shared" ref="T84:T92" si="114">H46*R$24</f>
        <v>535.70399999999995</v>
      </c>
      <c r="U84" s="101">
        <f t="shared" ref="U84:U92" si="115">I46*S$24</f>
        <v>486.78</v>
      </c>
      <c r="V84" s="101">
        <f t="shared" ref="V84:V92" si="116">J46*T$24</f>
        <v>0</v>
      </c>
      <c r="W84" s="150">
        <f t="shared" ref="W84:W91" si="117">K46*U$24</f>
        <v>0</v>
      </c>
      <c r="Z84" s="145"/>
      <c r="AA84" s="112"/>
      <c r="AB84" s="112"/>
      <c r="AC84" s="111" t="s">
        <v>323</v>
      </c>
      <c r="AD84" s="41" t="s">
        <v>297</v>
      </c>
      <c r="AE84" s="34">
        <f t="shared" si="99"/>
        <v>1155.5529999999999</v>
      </c>
      <c r="AF84" s="34">
        <f t="shared" si="83"/>
        <v>253.75800000000004</v>
      </c>
      <c r="AG84" s="34">
        <f t="shared" si="84"/>
        <v>1617.7470000000001</v>
      </c>
      <c r="AJ84" s="145"/>
      <c r="AK84" s="112"/>
      <c r="AL84" s="112"/>
      <c r="AM84" s="111" t="s">
        <v>323</v>
      </c>
      <c r="AN84" s="41" t="s">
        <v>297</v>
      </c>
      <c r="AO84" s="159">
        <f t="shared" si="85"/>
        <v>726.76289308176092</v>
      </c>
      <c r="AP84" s="159">
        <f t="shared" si="86"/>
        <v>149.26941176470592</v>
      </c>
      <c r="AQ84" s="159">
        <f t="shared" si="87"/>
        <v>53.924900000000001</v>
      </c>
    </row>
    <row r="85" spans="1:43" ht="16.5" customHeight="1">
      <c r="A85" s="145"/>
      <c r="B85" s="112"/>
      <c r="C85" s="113"/>
      <c r="D85" s="113"/>
      <c r="E85" s="41" t="s">
        <v>299</v>
      </c>
      <c r="F85" s="149">
        <f t="shared" si="100"/>
        <v>818.88400000000001</v>
      </c>
      <c r="G85" s="149">
        <f t="shared" si="101"/>
        <v>42.070000000000007</v>
      </c>
      <c r="H85" s="149">
        <f t="shared" si="102"/>
        <v>648.03599999999994</v>
      </c>
      <c r="I85" s="149">
        <f t="shared" si="103"/>
        <v>513.08400000000006</v>
      </c>
      <c r="J85" s="149">
        <f t="shared" si="104"/>
        <v>0</v>
      </c>
      <c r="K85" s="149">
        <f t="shared" si="105"/>
        <v>0</v>
      </c>
      <c r="L85" s="101">
        <f t="shared" si="106"/>
        <v>118.70800000000001</v>
      </c>
      <c r="M85" s="101">
        <f t="shared" si="107"/>
        <v>14.423999999999999</v>
      </c>
      <c r="N85" s="101">
        <f t="shared" si="108"/>
        <v>160.86000000000001</v>
      </c>
      <c r="O85" s="101">
        <f t="shared" si="109"/>
        <v>150.07200000000003</v>
      </c>
      <c r="P85" s="101">
        <f t="shared" si="110"/>
        <v>0</v>
      </c>
      <c r="Q85" s="101">
        <f t="shared" si="111"/>
        <v>0</v>
      </c>
      <c r="R85" s="101">
        <f t="shared" si="112"/>
        <v>806.81200000000001</v>
      </c>
      <c r="S85" s="101">
        <f t="shared" si="113"/>
        <v>234.99100000000001</v>
      </c>
      <c r="T85" s="101">
        <f t="shared" si="114"/>
        <v>937.58399999999995</v>
      </c>
      <c r="U85" s="101">
        <f t="shared" si="115"/>
        <v>851.76</v>
      </c>
      <c r="V85" s="101">
        <f t="shared" si="116"/>
        <v>0</v>
      </c>
      <c r="W85" s="150">
        <f t="shared" si="117"/>
        <v>0</v>
      </c>
      <c r="Z85" s="145"/>
      <c r="AA85" s="112"/>
      <c r="AB85" s="113"/>
      <c r="AC85" s="113"/>
      <c r="AD85" s="41" t="s">
        <v>299</v>
      </c>
      <c r="AE85" s="34">
        <f t="shared" si="99"/>
        <v>2022.0740000000001</v>
      </c>
      <c r="AF85" s="34">
        <f t="shared" si="83"/>
        <v>444.06400000000008</v>
      </c>
      <c r="AG85" s="34">
        <f t="shared" si="84"/>
        <v>2831.1469999999999</v>
      </c>
      <c r="AJ85" s="145"/>
      <c r="AK85" s="112"/>
      <c r="AL85" s="113"/>
      <c r="AM85" s="113"/>
      <c r="AN85" s="41" t="s">
        <v>299</v>
      </c>
      <c r="AO85" s="159">
        <f t="shared" si="85"/>
        <v>1271.7446540880503</v>
      </c>
      <c r="AP85" s="159">
        <f t="shared" si="86"/>
        <v>261.21411764705886</v>
      </c>
      <c r="AQ85" s="159">
        <f t="shared" si="87"/>
        <v>94.371566666666666</v>
      </c>
    </row>
    <row r="86" spans="1:43" ht="16.5" customHeight="1">
      <c r="A86" s="145"/>
      <c r="B86" s="113"/>
      <c r="C86" s="490" t="s">
        <v>13</v>
      </c>
      <c r="D86" s="491"/>
      <c r="E86" s="491"/>
      <c r="F86" s="149">
        <f t="shared" si="100"/>
        <v>0</v>
      </c>
      <c r="G86" s="149">
        <f t="shared" si="101"/>
        <v>0</v>
      </c>
      <c r="H86" s="149">
        <f t="shared" si="102"/>
        <v>0</v>
      </c>
      <c r="I86" s="149">
        <f t="shared" si="103"/>
        <v>0</v>
      </c>
      <c r="J86" s="149">
        <f t="shared" si="104"/>
        <v>435.97400000000005</v>
      </c>
      <c r="K86" s="149">
        <f t="shared" si="105"/>
        <v>4939.05</v>
      </c>
      <c r="L86" s="101">
        <f t="shared" si="106"/>
        <v>0</v>
      </c>
      <c r="M86" s="101">
        <f t="shared" si="107"/>
        <v>0</v>
      </c>
      <c r="N86" s="101">
        <f t="shared" si="108"/>
        <v>0</v>
      </c>
      <c r="O86" s="101">
        <f t="shared" si="109"/>
        <v>0</v>
      </c>
      <c r="P86" s="101">
        <f t="shared" si="110"/>
        <v>31.140999999999998</v>
      </c>
      <c r="Q86" s="101">
        <f t="shared" si="111"/>
        <v>675.87</v>
      </c>
      <c r="R86" s="101">
        <f t="shared" si="112"/>
        <v>0</v>
      </c>
      <c r="S86" s="101">
        <f t="shared" si="113"/>
        <v>0</v>
      </c>
      <c r="T86" s="101">
        <f t="shared" si="114"/>
        <v>0</v>
      </c>
      <c r="U86" s="101">
        <f t="shared" si="115"/>
        <v>0</v>
      </c>
      <c r="V86" s="101">
        <f t="shared" si="116"/>
        <v>906.36699999999985</v>
      </c>
      <c r="W86" s="150">
        <f t="shared" si="117"/>
        <v>3414.01</v>
      </c>
      <c r="Z86" s="145"/>
      <c r="AA86" s="113"/>
      <c r="AB86" s="490" t="s">
        <v>13</v>
      </c>
      <c r="AC86" s="491"/>
      <c r="AD86" s="491"/>
      <c r="AE86" s="34">
        <f t="shared" si="99"/>
        <v>5375.0240000000003</v>
      </c>
      <c r="AF86" s="34">
        <f t="shared" si="83"/>
        <v>707.01099999999997</v>
      </c>
      <c r="AG86" s="34">
        <f t="shared" si="84"/>
        <v>4320.3770000000004</v>
      </c>
      <c r="AJ86" s="145"/>
      <c r="AK86" s="113"/>
      <c r="AL86" s="490" t="s">
        <v>13</v>
      </c>
      <c r="AM86" s="491"/>
      <c r="AN86" s="491"/>
      <c r="AO86" s="159">
        <f t="shared" si="85"/>
        <v>3380.5182389937108</v>
      </c>
      <c r="AP86" s="159">
        <f t="shared" si="86"/>
        <v>415.88882352941175</v>
      </c>
      <c r="AQ86" s="159">
        <f t="shared" si="87"/>
        <v>144.01256666666669</v>
      </c>
    </row>
    <row r="87" spans="1:43">
      <c r="A87" s="145"/>
      <c r="B87" s="110" t="s">
        <v>300</v>
      </c>
      <c r="C87" s="490" t="s">
        <v>301</v>
      </c>
      <c r="D87" s="491"/>
      <c r="E87" s="491"/>
      <c r="F87" s="149">
        <f t="shared" si="100"/>
        <v>0</v>
      </c>
      <c r="G87" s="149">
        <f t="shared" si="101"/>
        <v>0</v>
      </c>
      <c r="H87" s="149">
        <f t="shared" si="102"/>
        <v>0</v>
      </c>
      <c r="I87" s="149">
        <f t="shared" si="103"/>
        <v>0</v>
      </c>
      <c r="J87" s="149">
        <f t="shared" si="104"/>
        <v>7656.2780000000002</v>
      </c>
      <c r="K87" s="149">
        <f t="shared" si="105"/>
        <v>30996.885000000002</v>
      </c>
      <c r="L87" s="101">
        <f t="shared" si="106"/>
        <v>0</v>
      </c>
      <c r="M87" s="101">
        <f t="shared" si="107"/>
        <v>0</v>
      </c>
      <c r="N87" s="101">
        <f t="shared" si="108"/>
        <v>0</v>
      </c>
      <c r="O87" s="101">
        <f t="shared" si="109"/>
        <v>0</v>
      </c>
      <c r="P87" s="101">
        <f t="shared" si="110"/>
        <v>546.87699999999995</v>
      </c>
      <c r="Q87" s="101">
        <f t="shared" si="111"/>
        <v>4241.6790000000001</v>
      </c>
      <c r="R87" s="101">
        <f t="shared" si="112"/>
        <v>0</v>
      </c>
      <c r="S87" s="101">
        <f t="shared" si="113"/>
        <v>0</v>
      </c>
      <c r="T87" s="101">
        <f t="shared" si="114"/>
        <v>0</v>
      </c>
      <c r="U87" s="101">
        <f t="shared" si="115"/>
        <v>0</v>
      </c>
      <c r="V87" s="101">
        <f t="shared" si="116"/>
        <v>15916.998999999998</v>
      </c>
      <c r="W87" s="150">
        <f t="shared" si="117"/>
        <v>21425.917000000001</v>
      </c>
      <c r="Z87" s="145"/>
      <c r="AA87" s="110" t="s">
        <v>300</v>
      </c>
      <c r="AB87" s="490" t="s">
        <v>301</v>
      </c>
      <c r="AC87" s="491"/>
      <c r="AD87" s="491"/>
      <c r="AE87" s="34">
        <f t="shared" si="99"/>
        <v>38653.163</v>
      </c>
      <c r="AF87" s="34">
        <f t="shared" si="83"/>
        <v>4788.5560000000005</v>
      </c>
      <c r="AG87" s="34">
        <f t="shared" si="84"/>
        <v>37342.915999999997</v>
      </c>
      <c r="AJ87" s="145"/>
      <c r="AK87" s="110" t="s">
        <v>300</v>
      </c>
      <c r="AL87" s="490" t="s">
        <v>301</v>
      </c>
      <c r="AM87" s="491"/>
      <c r="AN87" s="491"/>
      <c r="AO87" s="159">
        <f t="shared" si="85"/>
        <v>24310.165408805031</v>
      </c>
      <c r="AP87" s="159">
        <f t="shared" si="86"/>
        <v>2816.7976470588237</v>
      </c>
      <c r="AQ87" s="159">
        <f t="shared" si="87"/>
        <v>1244.7638666666667</v>
      </c>
    </row>
    <row r="88" spans="1:43">
      <c r="A88" s="145"/>
      <c r="B88" s="111" t="s">
        <v>20</v>
      </c>
      <c r="C88" s="490" t="s">
        <v>302</v>
      </c>
      <c r="D88" s="491"/>
      <c r="E88" s="491"/>
      <c r="F88" s="149">
        <f t="shared" si="100"/>
        <v>0</v>
      </c>
      <c r="G88" s="149">
        <f t="shared" si="101"/>
        <v>0</v>
      </c>
      <c r="H88" s="149">
        <f t="shared" si="102"/>
        <v>0</v>
      </c>
      <c r="I88" s="149">
        <f t="shared" si="103"/>
        <v>0</v>
      </c>
      <c r="J88" s="149">
        <f t="shared" si="104"/>
        <v>91.238</v>
      </c>
      <c r="K88" s="149">
        <f t="shared" si="105"/>
        <v>101.745</v>
      </c>
      <c r="L88" s="101">
        <f t="shared" si="106"/>
        <v>0</v>
      </c>
      <c r="M88" s="101">
        <f t="shared" si="107"/>
        <v>0</v>
      </c>
      <c r="N88" s="101">
        <f t="shared" si="108"/>
        <v>0</v>
      </c>
      <c r="O88" s="101">
        <f t="shared" si="109"/>
        <v>0</v>
      </c>
      <c r="P88" s="101">
        <f t="shared" si="110"/>
        <v>6.5169999999999995</v>
      </c>
      <c r="Q88" s="101">
        <f t="shared" si="111"/>
        <v>13.923</v>
      </c>
      <c r="R88" s="101">
        <f t="shared" si="112"/>
        <v>0</v>
      </c>
      <c r="S88" s="101">
        <f t="shared" si="113"/>
        <v>0</v>
      </c>
      <c r="T88" s="101">
        <f t="shared" si="114"/>
        <v>0</v>
      </c>
      <c r="U88" s="101">
        <f t="shared" si="115"/>
        <v>0</v>
      </c>
      <c r="V88" s="101">
        <f t="shared" si="116"/>
        <v>189.67899999999997</v>
      </c>
      <c r="W88" s="150">
        <f t="shared" si="117"/>
        <v>70.329000000000008</v>
      </c>
      <c r="Z88" s="145"/>
      <c r="AA88" s="111" t="s">
        <v>20</v>
      </c>
      <c r="AB88" s="490" t="s">
        <v>302</v>
      </c>
      <c r="AC88" s="491"/>
      <c r="AD88" s="491"/>
      <c r="AE88" s="34">
        <f t="shared" si="99"/>
        <v>192.983</v>
      </c>
      <c r="AF88" s="34">
        <f t="shared" si="83"/>
        <v>20.439999999999998</v>
      </c>
      <c r="AG88" s="34">
        <f t="shared" si="84"/>
        <v>260.00799999999998</v>
      </c>
      <c r="AJ88" s="145"/>
      <c r="AK88" s="111" t="s">
        <v>20</v>
      </c>
      <c r="AL88" s="490" t="s">
        <v>302</v>
      </c>
      <c r="AM88" s="491"/>
      <c r="AN88" s="491"/>
      <c r="AO88" s="159">
        <f t="shared" si="85"/>
        <v>121.37295597484277</v>
      </c>
      <c r="AP88" s="159">
        <f t="shared" si="86"/>
        <v>12.023529411764704</v>
      </c>
      <c r="AQ88" s="159">
        <f t="shared" si="87"/>
        <v>8.6669333333333327</v>
      </c>
    </row>
    <row r="89" spans="1:43">
      <c r="A89" s="145"/>
      <c r="B89" s="111" t="s">
        <v>19</v>
      </c>
      <c r="C89" s="490" t="s">
        <v>303</v>
      </c>
      <c r="D89" s="491"/>
      <c r="E89" s="491"/>
      <c r="F89" s="149">
        <f t="shared" si="100"/>
        <v>0</v>
      </c>
      <c r="G89" s="149">
        <f t="shared" si="101"/>
        <v>0</v>
      </c>
      <c r="H89" s="149">
        <f t="shared" si="102"/>
        <v>0</v>
      </c>
      <c r="I89" s="149">
        <f t="shared" si="103"/>
        <v>0</v>
      </c>
      <c r="J89" s="149">
        <f t="shared" si="104"/>
        <v>161.46200000000002</v>
      </c>
      <c r="K89" s="149">
        <f t="shared" si="105"/>
        <v>2142.3450000000003</v>
      </c>
      <c r="L89" s="101">
        <f t="shared" si="106"/>
        <v>0</v>
      </c>
      <c r="M89" s="101">
        <f t="shared" si="107"/>
        <v>0</v>
      </c>
      <c r="N89" s="101">
        <f t="shared" si="108"/>
        <v>0</v>
      </c>
      <c r="O89" s="101">
        <f t="shared" si="109"/>
        <v>0</v>
      </c>
      <c r="P89" s="101">
        <f t="shared" si="110"/>
        <v>11.532999999999999</v>
      </c>
      <c r="Q89" s="101">
        <f t="shared" si="111"/>
        <v>293.16300000000001</v>
      </c>
      <c r="R89" s="101">
        <f t="shared" si="112"/>
        <v>0</v>
      </c>
      <c r="S89" s="101">
        <f t="shared" si="113"/>
        <v>0</v>
      </c>
      <c r="T89" s="101">
        <f t="shared" si="114"/>
        <v>0</v>
      </c>
      <c r="U89" s="101">
        <f t="shared" si="115"/>
        <v>0</v>
      </c>
      <c r="V89" s="101">
        <f t="shared" si="116"/>
        <v>335.67099999999994</v>
      </c>
      <c r="W89" s="150">
        <f t="shared" si="117"/>
        <v>1480.8490000000002</v>
      </c>
      <c r="Z89" s="145"/>
      <c r="AA89" s="111" t="s">
        <v>19</v>
      </c>
      <c r="AB89" s="490" t="s">
        <v>303</v>
      </c>
      <c r="AC89" s="491"/>
      <c r="AD89" s="491"/>
      <c r="AE89" s="34">
        <f t="shared" si="99"/>
        <v>2303.8070000000002</v>
      </c>
      <c r="AF89" s="34">
        <f t="shared" si="83"/>
        <v>304.69600000000003</v>
      </c>
      <c r="AG89" s="34">
        <f t="shared" si="84"/>
        <v>1816.52</v>
      </c>
      <c r="AJ89" s="145"/>
      <c r="AK89" s="111" t="s">
        <v>19</v>
      </c>
      <c r="AL89" s="490" t="s">
        <v>303</v>
      </c>
      <c r="AM89" s="491"/>
      <c r="AN89" s="491"/>
      <c r="AO89" s="159">
        <f t="shared" si="85"/>
        <v>1448.9352201257861</v>
      </c>
      <c r="AP89" s="159">
        <f t="shared" si="86"/>
        <v>179.2329411764706</v>
      </c>
      <c r="AQ89" s="159">
        <f t="shared" si="87"/>
        <v>60.550666666666665</v>
      </c>
    </row>
    <row r="90" spans="1:43" ht="16.5" customHeight="1">
      <c r="A90" s="145"/>
      <c r="B90" s="112"/>
      <c r="C90" s="490" t="s">
        <v>304</v>
      </c>
      <c r="D90" s="491"/>
      <c r="E90" s="491"/>
      <c r="F90" s="149">
        <f t="shared" si="100"/>
        <v>0</v>
      </c>
      <c r="G90" s="149">
        <f t="shared" si="101"/>
        <v>0</v>
      </c>
      <c r="H90" s="149">
        <f t="shared" si="102"/>
        <v>0</v>
      </c>
      <c r="I90" s="149">
        <f t="shared" si="103"/>
        <v>0</v>
      </c>
      <c r="J90" s="149">
        <f t="shared" si="104"/>
        <v>14.896000000000001</v>
      </c>
      <c r="K90" s="149">
        <f t="shared" si="105"/>
        <v>0</v>
      </c>
      <c r="L90" s="101">
        <f t="shared" si="106"/>
        <v>0</v>
      </c>
      <c r="M90" s="101">
        <f t="shared" si="107"/>
        <v>0</v>
      </c>
      <c r="N90" s="101">
        <f t="shared" si="108"/>
        <v>0</v>
      </c>
      <c r="O90" s="101">
        <f t="shared" si="109"/>
        <v>0</v>
      </c>
      <c r="P90" s="101">
        <f t="shared" si="110"/>
        <v>1.0640000000000001</v>
      </c>
      <c r="Q90" s="101">
        <f t="shared" si="111"/>
        <v>0</v>
      </c>
      <c r="R90" s="101">
        <f t="shared" si="112"/>
        <v>0</v>
      </c>
      <c r="S90" s="101">
        <f t="shared" si="113"/>
        <v>0</v>
      </c>
      <c r="T90" s="101">
        <f t="shared" si="114"/>
        <v>0</v>
      </c>
      <c r="U90" s="101">
        <f t="shared" si="115"/>
        <v>0</v>
      </c>
      <c r="V90" s="101">
        <f t="shared" si="116"/>
        <v>30.967999999999996</v>
      </c>
      <c r="W90" s="150">
        <f t="shared" si="117"/>
        <v>0</v>
      </c>
      <c r="Z90" s="145"/>
      <c r="AA90" s="112"/>
      <c r="AB90" s="490" t="s">
        <v>304</v>
      </c>
      <c r="AC90" s="491"/>
      <c r="AD90" s="491"/>
      <c r="AE90" s="34">
        <f>SUM(F90:K90)</f>
        <v>14.896000000000001</v>
      </c>
      <c r="AF90" s="34">
        <f t="shared" si="83"/>
        <v>1.0640000000000001</v>
      </c>
      <c r="AG90" s="34">
        <f t="shared" si="84"/>
        <v>30.967999999999996</v>
      </c>
      <c r="AJ90" s="145"/>
      <c r="AK90" s="112"/>
      <c r="AL90" s="490" t="s">
        <v>304</v>
      </c>
      <c r="AM90" s="491"/>
      <c r="AN90" s="491"/>
      <c r="AO90" s="159">
        <f t="shared" si="85"/>
        <v>9.3685534591194966</v>
      </c>
      <c r="AP90" s="159">
        <f t="shared" si="86"/>
        <v>0.62588235294117656</v>
      </c>
      <c r="AQ90" s="159">
        <f t="shared" si="87"/>
        <v>1.0322666666666664</v>
      </c>
    </row>
    <row r="91" spans="1:43" ht="17.25" customHeight="1">
      <c r="A91" s="145"/>
      <c r="B91" s="112"/>
      <c r="C91" s="490" t="s">
        <v>305</v>
      </c>
      <c r="D91" s="491"/>
      <c r="E91" s="491"/>
      <c r="F91" s="149">
        <f t="shared" si="100"/>
        <v>0</v>
      </c>
      <c r="G91" s="149">
        <f t="shared" si="101"/>
        <v>0</v>
      </c>
      <c r="H91" s="149">
        <f t="shared" si="102"/>
        <v>0</v>
      </c>
      <c r="I91" s="149">
        <f t="shared" si="103"/>
        <v>0</v>
      </c>
      <c r="J91" s="149">
        <f t="shared" si="104"/>
        <v>46.018000000000001</v>
      </c>
      <c r="K91" s="149">
        <f t="shared" si="105"/>
        <v>625.86</v>
      </c>
      <c r="L91" s="101">
        <f t="shared" si="106"/>
        <v>0</v>
      </c>
      <c r="M91" s="101">
        <f t="shared" si="107"/>
        <v>0</v>
      </c>
      <c r="N91" s="101">
        <f t="shared" si="108"/>
        <v>0</v>
      </c>
      <c r="O91" s="101">
        <f t="shared" si="109"/>
        <v>0</v>
      </c>
      <c r="P91" s="101">
        <f t="shared" si="110"/>
        <v>3.2869999999999999</v>
      </c>
      <c r="Q91" s="101">
        <f t="shared" si="111"/>
        <v>85.644000000000005</v>
      </c>
      <c r="R91" s="101">
        <f t="shared" si="112"/>
        <v>0</v>
      </c>
      <c r="S91" s="101">
        <f t="shared" si="113"/>
        <v>0</v>
      </c>
      <c r="T91" s="101">
        <f t="shared" si="114"/>
        <v>0</v>
      </c>
      <c r="U91" s="101">
        <f t="shared" si="115"/>
        <v>0</v>
      </c>
      <c r="V91" s="101">
        <f t="shared" si="116"/>
        <v>95.668999999999983</v>
      </c>
      <c r="W91" s="150">
        <f t="shared" si="117"/>
        <v>432.61200000000002</v>
      </c>
      <c r="Z91" s="145"/>
      <c r="AA91" s="112"/>
      <c r="AB91" s="490" t="s">
        <v>305</v>
      </c>
      <c r="AC91" s="491"/>
      <c r="AD91" s="491"/>
      <c r="AE91" s="34">
        <f t="shared" si="99"/>
        <v>671.87800000000004</v>
      </c>
      <c r="AF91" s="34">
        <f t="shared" si="83"/>
        <v>88.931000000000012</v>
      </c>
      <c r="AG91" s="34">
        <f t="shared" si="84"/>
        <v>528.28099999999995</v>
      </c>
      <c r="AJ91" s="145"/>
      <c r="AK91" s="112"/>
      <c r="AL91" s="490" t="s">
        <v>305</v>
      </c>
      <c r="AM91" s="491"/>
      <c r="AN91" s="491"/>
      <c r="AO91" s="159">
        <f t="shared" si="85"/>
        <v>422.56477987421385</v>
      </c>
      <c r="AP91" s="159">
        <f t="shared" si="86"/>
        <v>52.312352941176478</v>
      </c>
      <c r="AQ91" s="159">
        <f t="shared" si="87"/>
        <v>17.609366666666666</v>
      </c>
    </row>
    <row r="92" spans="1:43" ht="17.5" thickBot="1">
      <c r="A92" s="146"/>
      <c r="B92" s="147"/>
      <c r="C92" s="492" t="s">
        <v>47</v>
      </c>
      <c r="D92" s="493"/>
      <c r="E92" s="493"/>
      <c r="F92" s="151">
        <f t="shared" si="100"/>
        <v>0</v>
      </c>
      <c r="G92" s="151">
        <f t="shared" si="101"/>
        <v>0</v>
      </c>
      <c r="H92" s="151">
        <f t="shared" si="102"/>
        <v>0</v>
      </c>
      <c r="I92" s="151">
        <f t="shared" si="103"/>
        <v>0</v>
      </c>
      <c r="J92" s="151">
        <f t="shared" si="104"/>
        <v>3987.0740000000001</v>
      </c>
      <c r="K92" s="151">
        <f t="shared" si="105"/>
        <v>13059.840000000002</v>
      </c>
      <c r="L92" s="152">
        <f t="shared" si="106"/>
        <v>0</v>
      </c>
      <c r="M92" s="152">
        <f t="shared" si="107"/>
        <v>0</v>
      </c>
      <c r="N92" s="152">
        <f t="shared" si="108"/>
        <v>0</v>
      </c>
      <c r="O92" s="152">
        <f t="shared" si="109"/>
        <v>0</v>
      </c>
      <c r="P92" s="152">
        <f t="shared" si="110"/>
        <v>284.791</v>
      </c>
      <c r="Q92" s="152">
        <f t="shared" si="111"/>
        <v>1787.136</v>
      </c>
      <c r="R92" s="152">
        <f t="shared" si="112"/>
        <v>0</v>
      </c>
      <c r="S92" s="152">
        <f t="shared" si="113"/>
        <v>0</v>
      </c>
      <c r="T92" s="152">
        <f t="shared" si="114"/>
        <v>0</v>
      </c>
      <c r="U92" s="152">
        <f t="shared" si="115"/>
        <v>0</v>
      </c>
      <c r="V92" s="152">
        <f t="shared" si="116"/>
        <v>8288.9169999999995</v>
      </c>
      <c r="W92" s="153">
        <f>K54*U$24</f>
        <v>9027.3279999999995</v>
      </c>
      <c r="Z92" s="146"/>
      <c r="AA92" s="147"/>
      <c r="AB92" s="492" t="s">
        <v>47</v>
      </c>
      <c r="AC92" s="493"/>
      <c r="AD92" s="493"/>
      <c r="AE92" s="34">
        <f t="shared" si="99"/>
        <v>17046.914000000001</v>
      </c>
      <c r="AF92" s="34">
        <f t="shared" si="83"/>
        <v>2071.9270000000001</v>
      </c>
      <c r="AG92" s="34">
        <f t="shared" si="84"/>
        <v>17316.244999999999</v>
      </c>
      <c r="AJ92" s="146"/>
      <c r="AK92" s="147"/>
      <c r="AL92" s="492" t="s">
        <v>47</v>
      </c>
      <c r="AM92" s="493"/>
      <c r="AN92" s="493"/>
      <c r="AO92" s="159">
        <f t="shared" si="85"/>
        <v>10721.329559748428</v>
      </c>
      <c r="AP92" s="159">
        <f t="shared" si="86"/>
        <v>1218.7805882352943</v>
      </c>
      <c r="AQ92" s="159">
        <f t="shared" si="87"/>
        <v>577.20816666666667</v>
      </c>
    </row>
  </sheetData>
  <mergeCells count="174">
    <mergeCell ref="D39:E39"/>
    <mergeCell ref="D40:E40"/>
    <mergeCell ref="D41:E41"/>
    <mergeCell ref="C48:E48"/>
    <mergeCell ref="A17:E18"/>
    <mergeCell ref="F17:H17"/>
    <mergeCell ref="L17:L18"/>
    <mergeCell ref="A19:A36"/>
    <mergeCell ref="B19:E19"/>
    <mergeCell ref="D21:E21"/>
    <mergeCell ref="D22:E22"/>
    <mergeCell ref="C32:E32"/>
    <mergeCell ref="C38:E38"/>
    <mergeCell ref="C30:E30"/>
    <mergeCell ref="C36:E36"/>
    <mergeCell ref="C20:E20"/>
    <mergeCell ref="D23:E23"/>
    <mergeCell ref="AD50:AE51"/>
    <mergeCell ref="AF50:AG50"/>
    <mergeCell ref="AF51:AG51"/>
    <mergeCell ref="C54:E54"/>
    <mergeCell ref="A10:B10"/>
    <mergeCell ref="A11:A12"/>
    <mergeCell ref="AC35:AG35"/>
    <mergeCell ref="AC36:AC43"/>
    <mergeCell ref="AF39:AG39"/>
    <mergeCell ref="AF40:AG40"/>
    <mergeCell ref="AF41:AG41"/>
    <mergeCell ref="D42:D44"/>
    <mergeCell ref="C49:E49"/>
    <mergeCell ref="C50:E50"/>
    <mergeCell ref="C51:E51"/>
    <mergeCell ref="C52:E52"/>
    <mergeCell ref="C53:E53"/>
    <mergeCell ref="D24:D26"/>
    <mergeCell ref="C31:E31"/>
    <mergeCell ref="C33:E33"/>
    <mergeCell ref="C34:E34"/>
    <mergeCell ref="C35:E35"/>
    <mergeCell ref="A37:A54"/>
    <mergeCell ref="B37:E37"/>
    <mergeCell ref="U79:U80"/>
    <mergeCell ref="V79:V80"/>
    <mergeCell ref="W79:W80"/>
    <mergeCell ref="AC63:AD63"/>
    <mergeCell ref="W61:W62"/>
    <mergeCell ref="C74:E74"/>
    <mergeCell ref="C68:E68"/>
    <mergeCell ref="C69:E69"/>
    <mergeCell ref="C70:E70"/>
    <mergeCell ref="C71:E71"/>
    <mergeCell ref="C72:E72"/>
    <mergeCell ref="C73:E73"/>
    <mergeCell ref="A61:E62"/>
    <mergeCell ref="D63:E63"/>
    <mergeCell ref="D64:D65"/>
    <mergeCell ref="AB71:AD71"/>
    <mergeCell ref="AB72:AD72"/>
    <mergeCell ref="P18:U18"/>
    <mergeCell ref="X18:AC18"/>
    <mergeCell ref="AJ17:AJ21"/>
    <mergeCell ref="AK17:AR17"/>
    <mergeCell ref="AS17:AZ17"/>
    <mergeCell ref="AK18:AP18"/>
    <mergeCell ref="AQ18:AR19"/>
    <mergeCell ref="AS18:AX18"/>
    <mergeCell ref="AY18:AZ19"/>
    <mergeCell ref="AK19:AN19"/>
    <mergeCell ref="AC20:AC21"/>
    <mergeCell ref="AD20:AD21"/>
    <mergeCell ref="AE20:AE21"/>
    <mergeCell ref="P19:S19"/>
    <mergeCell ref="T19:U19"/>
    <mergeCell ref="X19:AA19"/>
    <mergeCell ref="AB19:AC19"/>
    <mergeCell ref="X17:AE17"/>
    <mergeCell ref="V18:W19"/>
    <mergeCell ref="AD18:AE19"/>
    <mergeCell ref="S20:S21"/>
    <mergeCell ref="T20:T21"/>
    <mergeCell ref="U20:U21"/>
    <mergeCell ref="V20:V21"/>
    <mergeCell ref="AO19:AP19"/>
    <mergeCell ref="AS19:AV19"/>
    <mergeCell ref="AW19:AX19"/>
    <mergeCell ref="AN20:AN21"/>
    <mergeCell ref="AO20:AO21"/>
    <mergeCell ref="AP20:AP21"/>
    <mergeCell ref="AQ20:AQ21"/>
    <mergeCell ref="AR20:AR21"/>
    <mergeCell ref="AV20:AV21"/>
    <mergeCell ref="AW20:AW21"/>
    <mergeCell ref="AX20:AX21"/>
    <mergeCell ref="AY20:AY21"/>
    <mergeCell ref="AZ20:AZ21"/>
    <mergeCell ref="I61:I62"/>
    <mergeCell ref="O61:O62"/>
    <mergeCell ref="U61:U62"/>
    <mergeCell ref="J61:J62"/>
    <mergeCell ref="K61:K62"/>
    <mergeCell ref="P61:P62"/>
    <mergeCell ref="Q61:Q62"/>
    <mergeCell ref="W20:W21"/>
    <mergeCell ref="AA20:AA21"/>
    <mergeCell ref="AB20:AB21"/>
    <mergeCell ref="O17:O21"/>
    <mergeCell ref="P17:W17"/>
    <mergeCell ref="F60:K60"/>
    <mergeCell ref="V61:V62"/>
    <mergeCell ref="AD42:AE43"/>
    <mergeCell ref="AF42:AG42"/>
    <mergeCell ref="AF43:AG43"/>
    <mergeCell ref="AC44:AC51"/>
    <mergeCell ref="AF47:AG47"/>
    <mergeCell ref="AF48:AG48"/>
    <mergeCell ref="AF49:AG49"/>
    <mergeCell ref="AJ61:AN62"/>
    <mergeCell ref="D81:E81"/>
    <mergeCell ref="D82:D83"/>
    <mergeCell ref="C92:E92"/>
    <mergeCell ref="Z61:AD62"/>
    <mergeCell ref="L60:Q60"/>
    <mergeCell ref="R60:W60"/>
    <mergeCell ref="F78:K78"/>
    <mergeCell ref="L78:Q78"/>
    <mergeCell ref="R78:W78"/>
    <mergeCell ref="A79:E80"/>
    <mergeCell ref="I79:I80"/>
    <mergeCell ref="J79:J80"/>
    <mergeCell ref="K79:K80"/>
    <mergeCell ref="O79:O80"/>
    <mergeCell ref="C90:E90"/>
    <mergeCell ref="C91:E91"/>
    <mergeCell ref="P79:P80"/>
    <mergeCell ref="C86:E86"/>
    <mergeCell ref="C87:E87"/>
    <mergeCell ref="C88:E88"/>
    <mergeCell ref="C89:E89"/>
    <mergeCell ref="Q79:Q80"/>
    <mergeCell ref="AB91:AD91"/>
    <mergeCell ref="AB92:AD92"/>
    <mergeCell ref="AM63:AN63"/>
    <mergeCell ref="AM64:AM65"/>
    <mergeCell ref="AL68:AN68"/>
    <mergeCell ref="AL69:AN69"/>
    <mergeCell ref="AL70:AN70"/>
    <mergeCell ref="AL71:AN71"/>
    <mergeCell ref="AL72:AN72"/>
    <mergeCell ref="AC82:AC83"/>
    <mergeCell ref="AB86:AD86"/>
    <mergeCell ref="AB87:AD87"/>
    <mergeCell ref="AB88:AD88"/>
    <mergeCell ref="AB89:AD89"/>
    <mergeCell ref="AB90:AD90"/>
    <mergeCell ref="AC81:AD81"/>
    <mergeCell ref="AB73:AD73"/>
    <mergeCell ref="AB74:AD74"/>
    <mergeCell ref="Z79:AD80"/>
    <mergeCell ref="AC64:AC65"/>
    <mergeCell ref="AB68:AD68"/>
    <mergeCell ref="AB69:AD69"/>
    <mergeCell ref="AB70:AD70"/>
    <mergeCell ref="AL87:AN87"/>
    <mergeCell ref="AL88:AN88"/>
    <mergeCell ref="AL89:AN89"/>
    <mergeCell ref="AL90:AN90"/>
    <mergeCell ref="AL91:AN91"/>
    <mergeCell ref="AL92:AN92"/>
    <mergeCell ref="AL73:AN73"/>
    <mergeCell ref="AL74:AN74"/>
    <mergeCell ref="AJ79:AN80"/>
    <mergeCell ref="AM81:AN81"/>
    <mergeCell ref="AM82:AM83"/>
    <mergeCell ref="AL86:AN86"/>
  </mergeCells>
  <phoneticPr fontId="2" type="noConversion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8"/>
  <sheetViews>
    <sheetView workbookViewId="0">
      <selection activeCell="G18" sqref="G18"/>
    </sheetView>
  </sheetViews>
  <sheetFormatPr defaultRowHeight="17"/>
  <cols>
    <col min="1" max="1" width="33.08203125" customWidth="1"/>
    <col min="2" max="14" width="8.83203125" customWidth="1"/>
  </cols>
  <sheetData>
    <row r="1" spans="1:26">
      <c r="A1" s="32" t="s">
        <v>243</v>
      </c>
      <c r="B1" t="s">
        <v>400</v>
      </c>
      <c r="V1" s="32" t="s">
        <v>242</v>
      </c>
      <c r="W1" t="s">
        <v>241</v>
      </c>
    </row>
    <row r="2" spans="1:26">
      <c r="B2" t="s">
        <v>153</v>
      </c>
      <c r="C2" t="s">
        <v>399</v>
      </c>
      <c r="W2" t="s">
        <v>239</v>
      </c>
    </row>
    <row r="3" spans="1:26">
      <c r="B3" t="s">
        <v>401</v>
      </c>
      <c r="W3" t="s">
        <v>238</v>
      </c>
    </row>
    <row r="5" spans="1:26">
      <c r="A5" t="s">
        <v>402</v>
      </c>
    </row>
    <row r="6" spans="1:26" ht="17.5" thickBot="1">
      <c r="A6" s="32" t="s">
        <v>408</v>
      </c>
      <c r="N6" t="s">
        <v>411</v>
      </c>
      <c r="T6" t="s">
        <v>422</v>
      </c>
    </row>
    <row r="7" spans="1:26" ht="18" thickTop="1" thickBot="1">
      <c r="B7" s="659" t="s">
        <v>156</v>
      </c>
      <c r="C7" s="659"/>
      <c r="D7" s="659" t="s">
        <v>157</v>
      </c>
      <c r="E7" s="659"/>
      <c r="F7" s="659" t="s">
        <v>158</v>
      </c>
      <c r="G7" s="659"/>
      <c r="H7" s="659" t="s">
        <v>403</v>
      </c>
      <c r="I7" s="659"/>
      <c r="J7" s="659" t="s">
        <v>246</v>
      </c>
      <c r="K7" s="659"/>
      <c r="L7" s="659" t="s">
        <v>11</v>
      </c>
      <c r="M7" s="659"/>
      <c r="N7" s="659"/>
      <c r="T7" s="472" t="s">
        <v>421</v>
      </c>
      <c r="U7" s="473"/>
      <c r="V7" s="474"/>
      <c r="W7" s="173" t="s">
        <v>156</v>
      </c>
      <c r="X7" s="174" t="s">
        <v>157</v>
      </c>
      <c r="Y7" t="s">
        <v>423</v>
      </c>
      <c r="Z7" t="s">
        <v>424</v>
      </c>
    </row>
    <row r="8" spans="1:26" ht="24.5" thickTop="1">
      <c r="B8" s="169" t="s">
        <v>404</v>
      </c>
      <c r="C8" s="169" t="s">
        <v>41</v>
      </c>
      <c r="D8" s="169" t="s">
        <v>404</v>
      </c>
      <c r="E8" s="169" t="s">
        <v>41</v>
      </c>
      <c r="F8" s="169" t="s">
        <v>404</v>
      </c>
      <c r="G8" s="169" t="s">
        <v>41</v>
      </c>
      <c r="H8" s="169" t="s">
        <v>404</v>
      </c>
      <c r="I8" s="169" t="s">
        <v>41</v>
      </c>
      <c r="J8" s="169" t="s">
        <v>404</v>
      </c>
      <c r="K8" s="169" t="s">
        <v>41</v>
      </c>
      <c r="L8" s="169" t="s">
        <v>404</v>
      </c>
      <c r="M8" s="169" t="s">
        <v>41</v>
      </c>
      <c r="N8" s="169" t="s">
        <v>405</v>
      </c>
      <c r="T8" s="475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</row>
    <row r="9" spans="1:26" ht="32">
      <c r="A9" s="165" t="s">
        <v>409</v>
      </c>
      <c r="B9" s="171">
        <v>3432</v>
      </c>
      <c r="C9" s="171">
        <v>3432</v>
      </c>
      <c r="D9" s="172">
        <v>642</v>
      </c>
      <c r="E9" s="172">
        <v>642</v>
      </c>
      <c r="F9" s="171">
        <v>1989</v>
      </c>
      <c r="G9" s="171">
        <v>1989</v>
      </c>
      <c r="H9" s="171">
        <v>2313</v>
      </c>
      <c r="I9" s="171">
        <v>2313</v>
      </c>
      <c r="J9" s="172">
        <v>796</v>
      </c>
      <c r="K9" s="172">
        <v>796</v>
      </c>
      <c r="L9" s="171">
        <v>9172</v>
      </c>
      <c r="M9" s="171">
        <v>9172</v>
      </c>
      <c r="N9" s="171">
        <v>18344</v>
      </c>
      <c r="T9" s="466"/>
      <c r="U9" s="176" t="s">
        <v>415</v>
      </c>
      <c r="V9" s="180" t="s">
        <v>10</v>
      </c>
      <c r="W9" s="167">
        <v>2.25</v>
      </c>
      <c r="X9" s="168">
        <v>2.09</v>
      </c>
    </row>
    <row r="10" spans="1:26" ht="26">
      <c r="A10" s="165" t="s">
        <v>406</v>
      </c>
      <c r="B10" s="171">
        <v>1225</v>
      </c>
      <c r="C10" s="171">
        <v>1225</v>
      </c>
      <c r="D10" s="172">
        <v>864</v>
      </c>
      <c r="E10" s="172">
        <v>864</v>
      </c>
      <c r="F10" s="171">
        <v>3697</v>
      </c>
      <c r="G10" s="171">
        <v>3697</v>
      </c>
      <c r="H10" s="171">
        <v>1623</v>
      </c>
      <c r="I10" s="171">
        <v>1623</v>
      </c>
      <c r="J10" s="171">
        <v>1291</v>
      </c>
      <c r="K10" s="171">
        <v>1291</v>
      </c>
      <c r="L10" s="171">
        <v>8700</v>
      </c>
      <c r="M10" s="171">
        <v>8700</v>
      </c>
      <c r="N10" s="171">
        <v>17400</v>
      </c>
      <c r="T10" s="466"/>
      <c r="U10" s="181" t="s">
        <v>168</v>
      </c>
      <c r="V10" s="468" t="s">
        <v>10</v>
      </c>
      <c r="W10" s="470">
        <v>1.55</v>
      </c>
      <c r="X10" s="461">
        <v>1</v>
      </c>
    </row>
    <row r="11" spans="1:26" ht="39">
      <c r="A11" s="165" t="s">
        <v>407</v>
      </c>
      <c r="B11" s="171">
        <v>1671</v>
      </c>
      <c r="C11" s="171">
        <v>1671</v>
      </c>
      <c r="D11" s="172">
        <v>280</v>
      </c>
      <c r="E11" s="172">
        <v>280</v>
      </c>
      <c r="F11" s="172">
        <v>857</v>
      </c>
      <c r="G11" s="172">
        <v>857</v>
      </c>
      <c r="H11" s="171">
        <v>1025</v>
      </c>
      <c r="I11" s="171">
        <v>1025</v>
      </c>
      <c r="J11" s="172">
        <v>380</v>
      </c>
      <c r="K11" s="172">
        <v>380</v>
      </c>
      <c r="L11" s="171">
        <v>4213</v>
      </c>
      <c r="M11" s="171">
        <v>4213</v>
      </c>
      <c r="N11" s="171">
        <v>8426</v>
      </c>
      <c r="T11" s="466"/>
      <c r="U11" s="176" t="s">
        <v>416</v>
      </c>
      <c r="V11" s="469"/>
      <c r="W11" s="471"/>
      <c r="X11" s="462"/>
    </row>
    <row r="12" spans="1:26" ht="34">
      <c r="A12" s="165" t="s">
        <v>410</v>
      </c>
      <c r="B12" s="171">
        <v>2896</v>
      </c>
      <c r="C12" s="171">
        <v>2896</v>
      </c>
      <c r="D12" s="171">
        <v>1144</v>
      </c>
      <c r="E12" s="171">
        <v>1144</v>
      </c>
      <c r="F12" s="171">
        <v>4554</v>
      </c>
      <c r="G12" s="171">
        <v>4554</v>
      </c>
      <c r="H12" s="171">
        <v>2648</v>
      </c>
      <c r="I12" s="171">
        <v>2648</v>
      </c>
      <c r="J12" s="171">
        <v>1671</v>
      </c>
      <c r="K12" s="171">
        <v>1671</v>
      </c>
      <c r="L12" s="171">
        <v>12913</v>
      </c>
      <c r="M12" s="171">
        <v>12913</v>
      </c>
      <c r="N12" s="171">
        <v>25826</v>
      </c>
      <c r="T12" s="466"/>
      <c r="U12" s="181" t="s">
        <v>168</v>
      </c>
      <c r="V12" s="180" t="s">
        <v>9</v>
      </c>
      <c r="W12" s="167">
        <v>1.1599999999999999</v>
      </c>
      <c r="X12" s="168">
        <v>1</v>
      </c>
    </row>
    <row r="13" spans="1:26" ht="29">
      <c r="A13" s="164"/>
      <c r="T13" s="466"/>
      <c r="U13" s="176" t="s">
        <v>417</v>
      </c>
      <c r="V13" s="180" t="s">
        <v>10</v>
      </c>
      <c r="W13" s="167">
        <v>1.57</v>
      </c>
      <c r="X13" s="168">
        <v>1.43</v>
      </c>
    </row>
    <row r="14" spans="1:26" ht="28">
      <c r="A14" s="166" t="s">
        <v>412</v>
      </c>
      <c r="T14" s="466"/>
      <c r="U14" s="463" t="s">
        <v>14</v>
      </c>
      <c r="V14" s="180" t="s">
        <v>9</v>
      </c>
      <c r="W14" s="167">
        <v>1.42</v>
      </c>
      <c r="X14" s="168">
        <v>1.41</v>
      </c>
    </row>
    <row r="15" spans="1:26">
      <c r="B15" s="660" t="s">
        <v>156</v>
      </c>
      <c r="C15" s="660"/>
      <c r="D15" s="660" t="s">
        <v>157</v>
      </c>
      <c r="E15" s="660"/>
      <c r="F15" s="660" t="s">
        <v>425</v>
      </c>
      <c r="G15" s="660"/>
      <c r="H15" s="659" t="s">
        <v>403</v>
      </c>
      <c r="I15" s="659"/>
      <c r="J15" s="659" t="s">
        <v>246</v>
      </c>
      <c r="K15" s="659"/>
      <c r="L15" s="659" t="s">
        <v>11</v>
      </c>
      <c r="M15" s="659"/>
      <c r="N15" s="659"/>
      <c r="T15" s="466"/>
      <c r="U15" s="464"/>
      <c r="V15" s="180" t="s">
        <v>10</v>
      </c>
      <c r="W15" s="167">
        <v>1.82</v>
      </c>
      <c r="X15" s="168">
        <v>1.82</v>
      </c>
    </row>
    <row r="16" spans="1:26">
      <c r="B16" s="186" t="s">
        <v>404</v>
      </c>
      <c r="C16" s="186" t="s">
        <v>41</v>
      </c>
      <c r="D16" s="186" t="s">
        <v>404</v>
      </c>
      <c r="E16" s="186" t="s">
        <v>41</v>
      </c>
      <c r="F16" s="186" t="s">
        <v>404</v>
      </c>
      <c r="G16" s="186" t="s">
        <v>41</v>
      </c>
      <c r="H16" s="169" t="s">
        <v>404</v>
      </c>
      <c r="I16" s="169" t="s">
        <v>41</v>
      </c>
      <c r="J16" s="169" t="s">
        <v>404</v>
      </c>
      <c r="K16" s="169" t="s">
        <v>41</v>
      </c>
      <c r="L16" s="169" t="s">
        <v>404</v>
      </c>
      <c r="M16" s="169" t="s">
        <v>41</v>
      </c>
      <c r="N16" s="169" t="s">
        <v>405</v>
      </c>
      <c r="T16" s="466"/>
      <c r="U16" s="181" t="s">
        <v>418</v>
      </c>
      <c r="V16" s="180" t="s">
        <v>9</v>
      </c>
      <c r="W16" s="167">
        <v>3.1</v>
      </c>
      <c r="X16" s="168">
        <v>2.31</v>
      </c>
    </row>
    <row r="17" spans="1:24" ht="32">
      <c r="A17" s="165" t="s">
        <v>409</v>
      </c>
      <c r="B17" s="187">
        <v>1731</v>
      </c>
      <c r="C17" s="187">
        <v>1731</v>
      </c>
      <c r="D17" s="188">
        <v>452</v>
      </c>
      <c r="E17" s="188">
        <v>452</v>
      </c>
      <c r="F17" s="162">
        <f>F9/$Z$8</f>
        <v>69.086488364015281</v>
      </c>
      <c r="G17" s="162">
        <f t="shared" ref="G17:G20" si="0">G9/$Z$8</f>
        <v>69.086488364015281</v>
      </c>
      <c r="H17" s="98"/>
      <c r="I17" s="98"/>
      <c r="J17" s="98"/>
      <c r="K17" s="98"/>
      <c r="L17" s="170">
        <v>2183</v>
      </c>
      <c r="M17" s="170">
        <v>2183</v>
      </c>
      <c r="N17" s="170">
        <v>4366</v>
      </c>
      <c r="T17" s="476"/>
      <c r="U17" s="176" t="s">
        <v>419</v>
      </c>
      <c r="V17" s="180" t="s">
        <v>10</v>
      </c>
      <c r="W17" s="167">
        <v>3.1</v>
      </c>
      <c r="X17" s="168">
        <v>2.31</v>
      </c>
    </row>
    <row r="18" spans="1:24" ht="26">
      <c r="A18" s="165" t="s">
        <v>406</v>
      </c>
      <c r="B18" s="188">
        <v>544</v>
      </c>
      <c r="C18" s="188">
        <v>544</v>
      </c>
      <c r="D18" s="188">
        <v>827</v>
      </c>
      <c r="E18" s="188">
        <v>827</v>
      </c>
      <c r="F18" s="162">
        <f t="shared" ref="F18" si="1">F10/$Z$8</f>
        <v>128.41264327891631</v>
      </c>
      <c r="G18" s="162">
        <f t="shared" si="0"/>
        <v>128.41264327891631</v>
      </c>
      <c r="H18" s="98"/>
      <c r="I18" s="98"/>
      <c r="J18" s="98"/>
      <c r="K18" s="98"/>
      <c r="L18" s="170">
        <v>1371</v>
      </c>
      <c r="M18" s="170">
        <v>1371</v>
      </c>
      <c r="N18" s="170">
        <v>2742</v>
      </c>
      <c r="T18" s="465" t="s">
        <v>420</v>
      </c>
      <c r="U18" s="181" t="s">
        <v>414</v>
      </c>
      <c r="V18" s="180" t="s">
        <v>9</v>
      </c>
      <c r="W18" s="167">
        <v>2.25</v>
      </c>
      <c r="X18" s="168">
        <v>2.09</v>
      </c>
    </row>
    <row r="19" spans="1:24" ht="39">
      <c r="A19" s="165" t="s">
        <v>407</v>
      </c>
      <c r="B19" s="188">
        <v>874</v>
      </c>
      <c r="C19" s="188">
        <v>874</v>
      </c>
      <c r="D19" s="188">
        <v>188</v>
      </c>
      <c r="E19" s="188">
        <v>188</v>
      </c>
      <c r="F19" s="162">
        <f t="shared" ref="F19" si="2">F11/$Z$8</f>
        <v>29.767280305661689</v>
      </c>
      <c r="G19" s="162">
        <f t="shared" si="0"/>
        <v>29.767280305661689</v>
      </c>
      <c r="H19" s="98"/>
      <c r="I19" s="98"/>
      <c r="J19" s="98"/>
      <c r="K19" s="98"/>
      <c r="L19" s="170">
        <v>1062</v>
      </c>
      <c r="M19" s="170">
        <v>1062</v>
      </c>
      <c r="N19" s="170">
        <v>2124</v>
      </c>
      <c r="T19" s="466"/>
      <c r="U19" s="176" t="s">
        <v>415</v>
      </c>
      <c r="V19" s="180" t="s">
        <v>10</v>
      </c>
      <c r="W19" s="167">
        <v>2.25</v>
      </c>
      <c r="X19" s="168">
        <v>2.09</v>
      </c>
    </row>
    <row r="20" spans="1:24" ht="34">
      <c r="A20" s="165" t="s">
        <v>410</v>
      </c>
      <c r="B20" s="187">
        <v>1418</v>
      </c>
      <c r="C20" s="187">
        <v>1418</v>
      </c>
      <c r="D20" s="187">
        <v>1015</v>
      </c>
      <c r="E20" s="187">
        <v>1015</v>
      </c>
      <c r="F20" s="162">
        <f t="shared" ref="F20" si="3">F12/$Z$8</f>
        <v>158.17992358457798</v>
      </c>
      <c r="G20" s="162">
        <f t="shared" si="0"/>
        <v>158.17992358457798</v>
      </c>
      <c r="H20" s="98"/>
      <c r="I20" s="98"/>
      <c r="J20" s="98"/>
      <c r="K20" s="98"/>
      <c r="L20" s="170">
        <v>2433</v>
      </c>
      <c r="M20" s="170">
        <v>2433</v>
      </c>
      <c r="N20" s="170">
        <v>4866</v>
      </c>
      <c r="T20" s="466"/>
      <c r="U20" s="181" t="s">
        <v>168</v>
      </c>
      <c r="V20" s="468" t="s">
        <v>10</v>
      </c>
      <c r="W20" s="470">
        <v>1.55</v>
      </c>
      <c r="X20" s="461">
        <v>1</v>
      </c>
    </row>
    <row r="21" spans="1:24">
      <c r="T21" s="466"/>
      <c r="U21" s="176" t="s">
        <v>416</v>
      </c>
      <c r="V21" s="469"/>
      <c r="W21" s="471"/>
      <c r="X21" s="462"/>
    </row>
    <row r="22" spans="1:24">
      <c r="T22" s="466"/>
      <c r="U22" s="181" t="s">
        <v>168</v>
      </c>
      <c r="V22" s="180" t="s">
        <v>9</v>
      </c>
      <c r="W22" s="167">
        <v>1.2</v>
      </c>
      <c r="X22" s="168">
        <v>1.25</v>
      </c>
    </row>
    <row r="23" spans="1:24" ht="29">
      <c r="T23" s="466"/>
      <c r="U23" s="176" t="s">
        <v>417</v>
      </c>
      <c r="V23" s="180" t="s">
        <v>10</v>
      </c>
      <c r="W23" s="167">
        <v>1.64</v>
      </c>
      <c r="X23" s="168">
        <v>1.67</v>
      </c>
    </row>
    <row r="24" spans="1:24">
      <c r="T24" s="466"/>
      <c r="U24" s="463" t="s">
        <v>14</v>
      </c>
      <c r="V24" s="180" t="s">
        <v>9</v>
      </c>
      <c r="W24" s="167">
        <v>1.43</v>
      </c>
      <c r="X24" s="168">
        <v>1.41</v>
      </c>
    </row>
    <row r="25" spans="1:24">
      <c r="T25" s="466"/>
      <c r="U25" s="464"/>
      <c r="V25" s="180" t="s">
        <v>10</v>
      </c>
      <c r="W25" s="167">
        <v>1.96</v>
      </c>
      <c r="X25" s="168">
        <v>1.91</v>
      </c>
    </row>
    <row r="26" spans="1:24">
      <c r="T26" s="466"/>
      <c r="U26" s="181" t="s">
        <v>418</v>
      </c>
      <c r="V26" s="180" t="s">
        <v>9</v>
      </c>
      <c r="W26" s="167">
        <v>3.5</v>
      </c>
      <c r="X26" s="168">
        <v>2.02</v>
      </c>
    </row>
    <row r="27" spans="1:24" ht="17.5" thickBot="1">
      <c r="T27" s="467"/>
      <c r="U27" s="182" t="s">
        <v>419</v>
      </c>
      <c r="V27" s="183" t="s">
        <v>10</v>
      </c>
      <c r="W27" s="184">
        <v>3.5</v>
      </c>
      <c r="X27" s="185">
        <v>2.02</v>
      </c>
    </row>
    <row r="28" spans="1:24" ht="17.5" thickTop="1"/>
  </sheetData>
  <mergeCells count="23">
    <mergeCell ref="L7:N7"/>
    <mergeCell ref="B15:C15"/>
    <mergeCell ref="D15:E15"/>
    <mergeCell ref="F15:G15"/>
    <mergeCell ref="H15:I15"/>
    <mergeCell ref="J15:K15"/>
    <mergeCell ref="L15:N15"/>
    <mergeCell ref="B7:C7"/>
    <mergeCell ref="D7:E7"/>
    <mergeCell ref="F7:G7"/>
    <mergeCell ref="H7:I7"/>
    <mergeCell ref="J7:K7"/>
    <mergeCell ref="T7:V7"/>
    <mergeCell ref="T8:T17"/>
    <mergeCell ref="V10:V11"/>
    <mergeCell ref="W10:W11"/>
    <mergeCell ref="X10:X11"/>
    <mergeCell ref="U14:U15"/>
    <mergeCell ref="T18:T27"/>
    <mergeCell ref="V20:V21"/>
    <mergeCell ref="W20:W21"/>
    <mergeCell ref="X20:X21"/>
    <mergeCell ref="U24:U25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"/>
  <sheetViews>
    <sheetView workbookViewId="0">
      <selection activeCell="B3" sqref="B3"/>
    </sheetView>
  </sheetViews>
  <sheetFormatPr defaultRowHeight="17"/>
  <sheetData>
    <row r="1" spans="1:3">
      <c r="A1" s="32" t="s">
        <v>243</v>
      </c>
    </row>
    <row r="2" spans="1:3">
      <c r="B2" t="s">
        <v>153</v>
      </c>
      <c r="C2" t="s">
        <v>426</v>
      </c>
    </row>
    <row r="3" spans="1:3">
      <c r="B3" t="s">
        <v>401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2045</v>
      </c>
      <c r="B2" s="411">
        <f>'A.일산테크노밸리(859991)_수정'!EH140</f>
        <v>10630.89034696598</v>
      </c>
      <c r="C2" s="411">
        <f>'E.관광문화단지(849301)_수정'!EQ60+'C.장항공공주택지구(849992)'!EY180+'B.고양영상밸리(849991)_수정'!EQ108</f>
        <v>16565.432709238947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89</vt:i4>
      </vt:variant>
    </vt:vector>
  </HeadingPairs>
  <TitlesOfParts>
    <vt:vector size="89" baseType="lpstr">
      <vt:lpstr>기준년도설정</vt:lpstr>
      <vt:lpstr>exptE-FD-H_pc_od_zone_O_YYMMDD</vt:lpstr>
      <vt:lpstr>exptE-FD-H_pc_od_zone_D_YYMMDD</vt:lpstr>
      <vt:lpstr>exptE-FD-H_bus_od_zone_O_YYMMDD</vt:lpstr>
      <vt:lpstr>exptE-FD-H_bus_od_zone_D_YYMMDD</vt:lpstr>
      <vt:lpstr>exptE-FD-F_fod_zone_O_YYMMDD</vt:lpstr>
      <vt:lpstr>exptE-FD-F_fod_zone_D_YYMMDD</vt:lpstr>
      <vt:lpstr>exptD-FD-H_pc_od_zone_O_YYMMDD</vt:lpstr>
      <vt:lpstr>exptD-FD-H_pc_od_zone_D_YYMMDD</vt:lpstr>
      <vt:lpstr>exptD-FD-H_bus_od_zone_O_YYMMDD</vt:lpstr>
      <vt:lpstr>exptD-FD-H_bus_od_zone_D_YYMMDD</vt:lpstr>
      <vt:lpstr>exptD-FD-F_fod_zone_O_YYMMDD</vt:lpstr>
      <vt:lpstr>exptD-FD-F_fod_zone_D_YYMMDD</vt:lpstr>
      <vt:lpstr>exptC-FD-H_pc_od_zone_O_YYMMDD</vt:lpstr>
      <vt:lpstr>exptC-FD-H_pc_od_zone_D_YYMMDD</vt:lpstr>
      <vt:lpstr>exptC-FD-H_bus_od_zone_O_YYMMDD</vt:lpstr>
      <vt:lpstr>exptC-FD-H_bus_od_zone_D_YYMMDD</vt:lpstr>
      <vt:lpstr>exptC-FD-F_fod_zone_O_YYMMDD</vt:lpstr>
      <vt:lpstr>exptC-FD-F_fod_zone_D_YYMMDD</vt:lpstr>
      <vt:lpstr>exptB-FD-H_pc_od_zone_O_YYMMDD</vt:lpstr>
      <vt:lpstr>exptB-FD-H_pc_od_zone_D_YYMMDD</vt:lpstr>
      <vt:lpstr>exptB-FD-H_bus_od_zone_O_YYMMDD</vt:lpstr>
      <vt:lpstr>exptB-FD-H_bus_od_zone_D_YYMMDD</vt:lpstr>
      <vt:lpstr>exptB-FD-F_fod_zone_O_YYMMDD</vt:lpstr>
      <vt:lpstr>exptB-FD-F_fod_zone_D_YYMMDD</vt:lpstr>
      <vt:lpstr>exptA-FD-H_pc_od_zone_O_YYMMDD</vt:lpstr>
      <vt:lpstr>exptA-FD-H_pc_od_zone_D_YYMMDD</vt:lpstr>
      <vt:lpstr>exptA-FD-H_bus_od_zone_O_YYMMDD</vt:lpstr>
      <vt:lpstr>exptA-FD-H_bus_od_zone_D_YYMMDD</vt:lpstr>
      <vt:lpstr>exptA-FD-F_fod_zone_O_YYMMDD</vt:lpstr>
      <vt:lpstr>exptA-FD-F_fod_zone_D_YYMMDD</vt:lpstr>
      <vt:lpstr>NON-FD-H_pc_od_zone_O_YYMMDD</vt:lpstr>
      <vt:lpstr>NON-FD-H_pc_od_zone_D_YYMMDD</vt:lpstr>
      <vt:lpstr>NON-FD-H_bus_od_zone_O_YYMMDD</vt:lpstr>
      <vt:lpstr>NON-FD-H_bus_od_zone_D_YYMMDD</vt:lpstr>
      <vt:lpstr>NON-FD-F_fod_zone_O_YYMMDD </vt:lpstr>
      <vt:lpstr>NON-FD-F_fod_zone_D_YYMMDD</vt:lpstr>
      <vt:lpstr>onlyA-FD-H_pc_od_zone_O_YYMMDD</vt:lpstr>
      <vt:lpstr>onlyA-FD-H_pc_od_zone_D_YYMMDD</vt:lpstr>
      <vt:lpstr>onlyA-FD-H_bus_od_zone_O_YYMMDD</vt:lpstr>
      <vt:lpstr>onlyA-FD-H_bus_od_zone_D_YYMMDD</vt:lpstr>
      <vt:lpstr>onlyA-FD-F_fod_zone_O_YYMMDD</vt:lpstr>
      <vt:lpstr>onlyA-FD-F_fod_zone_D_YYMMDD</vt:lpstr>
      <vt:lpstr>onlyB-FD-H_pc_od_zone_O_YYMMDD</vt:lpstr>
      <vt:lpstr>onlyB-FD-H_pc_od_zone_D_YYMMDD</vt:lpstr>
      <vt:lpstr>onlyB-FD-H_bus_od_zone_O_YYMMDD</vt:lpstr>
      <vt:lpstr>onlyB-FD-H_bus_od_zone_D_YYMMDD</vt:lpstr>
      <vt:lpstr>onlyB-FD-F_fod_zone_O_YYMMDD</vt:lpstr>
      <vt:lpstr>onlyB-FD-F_fod_zone_D_YYMMDD</vt:lpstr>
      <vt:lpstr>onlyC-FD-H_pc_od_zone_O_YYMMDD</vt:lpstr>
      <vt:lpstr>onlyC-FD-H_pc_od_zone_D_YYMMDD</vt:lpstr>
      <vt:lpstr>onlyC-FD-H_bus_od_zone_O_YYMMDD</vt:lpstr>
      <vt:lpstr>onlyC-FD-H_bus_od_zone_D_YYMMDD</vt:lpstr>
      <vt:lpstr>onlyC-FD-F_fod_zone_O_YYMMDD</vt:lpstr>
      <vt:lpstr>onlyC-FD-F_fod_zone_D_YYMMDD</vt:lpstr>
      <vt:lpstr>onlyD-FD-H_pc_od_zone_O_YYMMDD</vt:lpstr>
      <vt:lpstr>onlyD-FD-H_pc_od_zone_D_YYMMDD</vt:lpstr>
      <vt:lpstr>onlyD-FD-H_bus_od_zone_O_YYMMDD</vt:lpstr>
      <vt:lpstr>onlyD-FD-H_bus_od_zone_D_YYMMDD</vt:lpstr>
      <vt:lpstr>onlyD-FD-F_fod_zone_O_YYMMDD</vt:lpstr>
      <vt:lpstr>onlyD-FD-F_fod_zone_D_YYMMDD</vt:lpstr>
      <vt:lpstr>onlyE-FD-H_pc_od_zone_O_YYMMDD</vt:lpstr>
      <vt:lpstr>onlyE-FD-H_pc_od_zone_D_YYMMDD</vt:lpstr>
      <vt:lpstr>onlyE-FD-H_bus_od_zone_O_YYMMDD</vt:lpstr>
      <vt:lpstr>onlyE-FD-H_bus_od_zone_D_YYMMDD</vt:lpstr>
      <vt:lpstr>onlyE-FD-F_fod_zone_O_YYMMDD </vt:lpstr>
      <vt:lpstr>onlyE-FD-F_fod_zone_D_YYMMDD</vt:lpstr>
      <vt:lpstr>ALL-FD-H_pc_od_zone_O_YYMMDD</vt:lpstr>
      <vt:lpstr>ALL-FD-H_pc_od_zone_D_YYMMDD</vt:lpstr>
      <vt:lpstr>ALL-FD-H_bus_od_zone_O_YYMMDD</vt:lpstr>
      <vt:lpstr>ALL-FD-H_bus_od_zone_D_YYMMDD</vt:lpstr>
      <vt:lpstr>ALL-FD-F_fod_zone_O_YYMMDD</vt:lpstr>
      <vt:lpstr>ALL-FD-F_fod_zone_D_YYMMDD</vt:lpstr>
      <vt:lpstr>E.관광문화단지(849301)_수정</vt:lpstr>
      <vt:lpstr>D.cj라이브시티(849201)_수정</vt:lpstr>
      <vt:lpstr>C.장항공공주택지구(849992)</vt:lpstr>
      <vt:lpstr>B.고양영상밸리(849991)_수정</vt:lpstr>
      <vt:lpstr>A.일산테크노밸리(859991)_수정</vt:lpstr>
      <vt:lpstr>고양시_Modal_split</vt:lpstr>
      <vt:lpstr>고양시_재차인원</vt:lpstr>
      <vt:lpstr>KTDB_발생량도착량_증가율</vt:lpstr>
      <vt:lpstr>KTDB_TripDistribution_2045</vt:lpstr>
      <vt:lpstr>장항공공주택지구_통행량제외분</vt:lpstr>
      <vt:lpstr>S1</vt:lpstr>
      <vt:lpstr>일산테크노밸리</vt:lpstr>
      <vt:lpstr>고양영상밸리</vt:lpstr>
      <vt:lpstr>징힝공공주택지구</vt:lpstr>
      <vt:lpstr>cj라이브시티</vt:lpstr>
      <vt:lpstr>관광문화단지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2022-03-28T09:22:24Z</dcterms:modified>
</cp:coreProperties>
</file>